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l\YandexDisk\2. Проекты\2. Материальная база\2.1. Таурусс\Маркетинг и реклама\Сайты компании\Insmeta.ru\БАЗА ИНСМЕТА\"/>
    </mc:Choice>
  </mc:AlternateContent>
  <xr:revisionPtr revIDLastSave="0" documentId="8_{D080BA29-B166-4C69-9868-F45A10B2A251}" xr6:coauthVersionLast="45" xr6:coauthVersionMax="45" xr10:uidLastSave="{00000000-0000-0000-0000-000000000000}"/>
  <bookViews>
    <workbookView xWindow="-98" yWindow="-98" windowWidth="24196" windowHeight="13096" tabRatio="500" xr2:uid="{00000000-000D-0000-FFFF-FFFF00000000}"/>
  </bookViews>
  <sheets>
    <sheet name="Смета по ФЕР 10 граф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Excel_BuiltIn_Print_Titles" localSheetId="0">'Смета по ФЕР 10 граф'!$31:$31</definedName>
    <definedName name="_xlnm.Print_Titles" localSheetId="0">'Смета по ФЕР 10 граф'!$31:$31</definedName>
    <definedName name="_xlnm.Print_Area" localSheetId="0">'Смета по ФЕР 10 граф'!$A$1:$J$211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31" i="5" l="1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DA131" i="4"/>
  <c r="CZ131" i="4"/>
  <c r="CY131" i="4"/>
  <c r="A131" i="4"/>
  <c r="DA130" i="4"/>
  <c r="CZ130" i="4"/>
  <c r="CY130" i="4"/>
  <c r="A130" i="4"/>
  <c r="DA129" i="4"/>
  <c r="CZ129" i="4"/>
  <c r="CY129" i="4"/>
  <c r="A129" i="4"/>
  <c r="DA128" i="4"/>
  <c r="CZ128" i="4"/>
  <c r="CY128" i="4"/>
  <c r="A128" i="4"/>
  <c r="DA127" i="4"/>
  <c r="CZ127" i="4"/>
  <c r="CY127" i="4"/>
  <c r="A127" i="4"/>
  <c r="DA126" i="4"/>
  <c r="CZ126" i="4"/>
  <c r="CY126" i="4"/>
  <c r="A126" i="4"/>
  <c r="DA125" i="4"/>
  <c r="CZ125" i="4"/>
  <c r="CY125" i="4"/>
  <c r="A125" i="4"/>
  <c r="DA124" i="4"/>
  <c r="CZ124" i="4"/>
  <c r="CY124" i="4"/>
  <c r="A124" i="4"/>
  <c r="DA123" i="4"/>
  <c r="CZ123" i="4"/>
  <c r="CY123" i="4"/>
  <c r="A123" i="4"/>
  <c r="DA122" i="4"/>
  <c r="CZ122" i="4"/>
  <c r="CY122" i="4"/>
  <c r="A122" i="4"/>
  <c r="DA121" i="4"/>
  <c r="CZ121" i="4"/>
  <c r="CY121" i="4"/>
  <c r="A121" i="4"/>
  <c r="DA120" i="4"/>
  <c r="CZ120" i="4"/>
  <c r="CY120" i="4"/>
  <c r="A120" i="4"/>
  <c r="DA119" i="4"/>
  <c r="CZ119" i="4"/>
  <c r="CY119" i="4"/>
  <c r="A119" i="4"/>
  <c r="DA118" i="4"/>
  <c r="CZ118" i="4"/>
  <c r="CY118" i="4"/>
  <c r="A118" i="4"/>
  <c r="DA117" i="4"/>
  <c r="CZ117" i="4"/>
  <c r="CY117" i="4"/>
  <c r="A117" i="4"/>
  <c r="DA116" i="4"/>
  <c r="CZ116" i="4"/>
  <c r="CY116" i="4"/>
  <c r="A116" i="4"/>
  <c r="DA115" i="4"/>
  <c r="CZ115" i="4"/>
  <c r="CY115" i="4"/>
  <c r="A115" i="4"/>
  <c r="DA114" i="4"/>
  <c r="CZ114" i="4"/>
  <c r="CY114" i="4"/>
  <c r="A114" i="4"/>
  <c r="DA113" i="4"/>
  <c r="CZ113" i="4"/>
  <c r="CY113" i="4"/>
  <c r="A113" i="4"/>
  <c r="DA112" i="4"/>
  <c r="CZ112" i="4"/>
  <c r="CY112" i="4"/>
  <c r="A112" i="4"/>
  <c r="DA111" i="4"/>
  <c r="CZ111" i="4"/>
  <c r="CY111" i="4"/>
  <c r="A111" i="4"/>
  <c r="DA110" i="4"/>
  <c r="CZ110" i="4"/>
  <c r="CY110" i="4"/>
  <c r="A110" i="4"/>
  <c r="DA109" i="4"/>
  <c r="CZ109" i="4"/>
  <c r="CY109" i="4"/>
  <c r="A109" i="4"/>
  <c r="DA108" i="4"/>
  <c r="CZ108" i="4"/>
  <c r="CY108" i="4"/>
  <c r="A108" i="4"/>
  <c r="DA107" i="4"/>
  <c r="CZ107" i="4"/>
  <c r="CY107" i="4"/>
  <c r="A107" i="4"/>
  <c r="DA106" i="4"/>
  <c r="CZ106" i="4"/>
  <c r="CY106" i="4"/>
  <c r="A106" i="4"/>
  <c r="DA105" i="4"/>
  <c r="CZ105" i="4"/>
  <c r="CY105" i="4"/>
  <c r="A105" i="4"/>
  <c r="DA104" i="4"/>
  <c r="CZ104" i="4"/>
  <c r="CY104" i="4"/>
  <c r="A104" i="4"/>
  <c r="DA103" i="4"/>
  <c r="CZ103" i="4"/>
  <c r="CY103" i="4"/>
  <c r="A103" i="4"/>
  <c r="DA102" i="4"/>
  <c r="CZ102" i="4"/>
  <c r="CY102" i="4"/>
  <c r="A102" i="4"/>
  <c r="DA101" i="4"/>
  <c r="CZ101" i="4"/>
  <c r="CY101" i="4"/>
  <c r="A101" i="4"/>
  <c r="DA100" i="4"/>
  <c r="CZ100" i="4"/>
  <c r="CY100" i="4"/>
  <c r="A100" i="4"/>
  <c r="DA99" i="4"/>
  <c r="CZ99" i="4"/>
  <c r="CY99" i="4"/>
  <c r="A99" i="4"/>
  <c r="DA98" i="4"/>
  <c r="CZ98" i="4"/>
  <c r="CY98" i="4"/>
  <c r="A98" i="4"/>
  <c r="DA97" i="4"/>
  <c r="CZ97" i="4"/>
  <c r="CY97" i="4"/>
  <c r="A97" i="4"/>
  <c r="DA96" i="4"/>
  <c r="CZ96" i="4"/>
  <c r="CY96" i="4"/>
  <c r="A96" i="4"/>
  <c r="DA95" i="4"/>
  <c r="CZ95" i="4"/>
  <c r="CY95" i="4"/>
  <c r="A95" i="4"/>
  <c r="DA94" i="4"/>
  <c r="CZ94" i="4"/>
  <c r="CY94" i="4"/>
  <c r="A94" i="4"/>
  <c r="DA93" i="4"/>
  <c r="CZ93" i="4"/>
  <c r="CY93" i="4"/>
  <c r="A93" i="4"/>
  <c r="DA92" i="4"/>
  <c r="CZ92" i="4"/>
  <c r="CY92" i="4"/>
  <c r="A92" i="4"/>
  <c r="DA91" i="4"/>
  <c r="CZ91" i="4"/>
  <c r="CY91" i="4"/>
  <c r="A91" i="4"/>
  <c r="DA90" i="4"/>
  <c r="CZ90" i="4"/>
  <c r="CY90" i="4"/>
  <c r="A90" i="4"/>
  <c r="DA89" i="4"/>
  <c r="CZ89" i="4"/>
  <c r="CY89" i="4"/>
  <c r="A89" i="4"/>
  <c r="DA88" i="4"/>
  <c r="CZ88" i="4"/>
  <c r="CY88" i="4"/>
  <c r="A88" i="4"/>
  <c r="DA87" i="4"/>
  <c r="CZ87" i="4"/>
  <c r="CY87" i="4"/>
  <c r="A87" i="4"/>
  <c r="DA86" i="4"/>
  <c r="CZ86" i="4"/>
  <c r="CY86" i="4"/>
  <c r="A86" i="4"/>
  <c r="DA85" i="4"/>
  <c r="CZ85" i="4"/>
  <c r="CY85" i="4"/>
  <c r="A85" i="4"/>
  <c r="DA84" i="4"/>
  <c r="CZ84" i="4"/>
  <c r="CY84" i="4"/>
  <c r="A84" i="4"/>
  <c r="DA83" i="4"/>
  <c r="CZ83" i="4"/>
  <c r="CY83" i="4"/>
  <c r="A83" i="4"/>
  <c r="DA82" i="4"/>
  <c r="CZ82" i="4"/>
  <c r="CY82" i="4"/>
  <c r="A82" i="4"/>
  <c r="DA81" i="4"/>
  <c r="CZ81" i="4"/>
  <c r="CY81" i="4"/>
  <c r="A81" i="4"/>
  <c r="DA80" i="4"/>
  <c r="CZ80" i="4"/>
  <c r="CY80" i="4"/>
  <c r="A80" i="4"/>
  <c r="DA79" i="4"/>
  <c r="CZ79" i="4"/>
  <c r="CY79" i="4"/>
  <c r="A79" i="4"/>
  <c r="DA78" i="4"/>
  <c r="CZ78" i="4"/>
  <c r="CY78" i="4"/>
  <c r="A78" i="4"/>
  <c r="DA77" i="4"/>
  <c r="CZ77" i="4"/>
  <c r="CY77" i="4"/>
  <c r="A77" i="4"/>
  <c r="DA76" i="4"/>
  <c r="CZ76" i="4"/>
  <c r="CY76" i="4"/>
  <c r="A76" i="4"/>
  <c r="DA75" i="4"/>
  <c r="CZ75" i="4"/>
  <c r="CY75" i="4"/>
  <c r="A75" i="4"/>
  <c r="DA74" i="4"/>
  <c r="CZ74" i="4"/>
  <c r="CY74" i="4"/>
  <c r="A74" i="4"/>
  <c r="DA73" i="4"/>
  <c r="CZ73" i="4"/>
  <c r="CY73" i="4"/>
  <c r="A73" i="4"/>
  <c r="DA72" i="4"/>
  <c r="CZ72" i="4"/>
  <c r="CY72" i="4"/>
  <c r="A72" i="4"/>
  <c r="DA71" i="4"/>
  <c r="CZ71" i="4"/>
  <c r="CY71" i="4"/>
  <c r="A71" i="4"/>
  <c r="DA70" i="4"/>
  <c r="CZ70" i="4"/>
  <c r="CY70" i="4"/>
  <c r="A70" i="4"/>
  <c r="DA69" i="4"/>
  <c r="CZ69" i="4"/>
  <c r="CY69" i="4"/>
  <c r="A69" i="4"/>
  <c r="DA68" i="4"/>
  <c r="CZ68" i="4"/>
  <c r="CY68" i="4"/>
  <c r="A68" i="4"/>
  <c r="DA67" i="4"/>
  <c r="CZ67" i="4"/>
  <c r="CY67" i="4"/>
  <c r="A67" i="4"/>
  <c r="DA66" i="4"/>
  <c r="CZ66" i="4"/>
  <c r="CY66" i="4"/>
  <c r="A66" i="4"/>
  <c r="DA65" i="4"/>
  <c r="CZ65" i="4"/>
  <c r="CY65" i="4"/>
  <c r="A65" i="4"/>
  <c r="DA64" i="4"/>
  <c r="CZ64" i="4"/>
  <c r="CY64" i="4"/>
  <c r="A64" i="4"/>
  <c r="DA63" i="4"/>
  <c r="CZ63" i="4"/>
  <c r="CY63" i="4"/>
  <c r="A63" i="4"/>
  <c r="DA62" i="4"/>
  <c r="CZ62" i="4"/>
  <c r="CY62" i="4"/>
  <c r="A62" i="4"/>
  <c r="DA61" i="4"/>
  <c r="CZ61" i="4"/>
  <c r="CY61" i="4"/>
  <c r="A61" i="4"/>
  <c r="DA60" i="4"/>
  <c r="CZ60" i="4"/>
  <c r="CY60" i="4"/>
  <c r="A60" i="4"/>
  <c r="DA59" i="4"/>
  <c r="CZ59" i="4"/>
  <c r="CY59" i="4"/>
  <c r="A59" i="4"/>
  <c r="DA58" i="4"/>
  <c r="CZ58" i="4"/>
  <c r="CY58" i="4"/>
  <c r="A58" i="4"/>
  <c r="DA57" i="4"/>
  <c r="CZ57" i="4"/>
  <c r="CY57" i="4"/>
  <c r="A57" i="4"/>
  <c r="DA56" i="4"/>
  <c r="CZ56" i="4"/>
  <c r="CY56" i="4"/>
  <c r="A56" i="4"/>
  <c r="DA55" i="4"/>
  <c r="CZ55" i="4"/>
  <c r="CY55" i="4"/>
  <c r="A55" i="4"/>
  <c r="DA54" i="4"/>
  <c r="CZ54" i="4"/>
  <c r="CY54" i="4"/>
  <c r="A54" i="4"/>
  <c r="DA53" i="4"/>
  <c r="CZ53" i="4"/>
  <c r="CY53" i="4"/>
  <c r="A53" i="4"/>
  <c r="DA52" i="4"/>
  <c r="CZ52" i="4"/>
  <c r="CY52" i="4"/>
  <c r="A52" i="4"/>
  <c r="DA51" i="4"/>
  <c r="CZ51" i="4"/>
  <c r="CY51" i="4"/>
  <c r="A51" i="4"/>
  <c r="DA50" i="4"/>
  <c r="CZ50" i="4"/>
  <c r="CY50" i="4"/>
  <c r="A50" i="4"/>
  <c r="DA49" i="4"/>
  <c r="CZ49" i="4"/>
  <c r="CY49" i="4"/>
  <c r="A49" i="4"/>
  <c r="DA48" i="4"/>
  <c r="CZ48" i="4"/>
  <c r="CY48" i="4"/>
  <c r="A48" i="4"/>
  <c r="DA47" i="4"/>
  <c r="CZ47" i="4"/>
  <c r="CY47" i="4"/>
  <c r="A47" i="4"/>
  <c r="DA46" i="4"/>
  <c r="CZ46" i="4"/>
  <c r="CY46" i="4"/>
  <c r="A46" i="4"/>
  <c r="DA45" i="4"/>
  <c r="CZ45" i="4"/>
  <c r="CY45" i="4"/>
  <c r="A45" i="4"/>
  <c r="DA44" i="4"/>
  <c r="CZ44" i="4"/>
  <c r="CY44" i="4"/>
  <c r="A44" i="4"/>
  <c r="DA43" i="4"/>
  <c r="CZ43" i="4"/>
  <c r="CY43" i="4"/>
  <c r="A43" i="4"/>
  <c r="DA42" i="4"/>
  <c r="CZ42" i="4"/>
  <c r="CY42" i="4"/>
  <c r="A42" i="4"/>
  <c r="DA41" i="4"/>
  <c r="CZ41" i="4"/>
  <c r="CY41" i="4"/>
  <c r="A41" i="4"/>
  <c r="DA40" i="4"/>
  <c r="CZ40" i="4"/>
  <c r="CY40" i="4"/>
  <c r="A40" i="4"/>
  <c r="DA39" i="4"/>
  <c r="CZ39" i="4"/>
  <c r="CY39" i="4"/>
  <c r="A39" i="4"/>
  <c r="DA38" i="4"/>
  <c r="CZ38" i="4"/>
  <c r="CY38" i="4"/>
  <c r="A38" i="4"/>
  <c r="DA37" i="4"/>
  <c r="CZ37" i="4"/>
  <c r="CY37" i="4"/>
  <c r="A37" i="4"/>
  <c r="DA36" i="4"/>
  <c r="CZ36" i="4"/>
  <c r="CY36" i="4"/>
  <c r="A36" i="4"/>
  <c r="DA35" i="4"/>
  <c r="CZ35" i="4"/>
  <c r="CY35" i="4"/>
  <c r="A35" i="4"/>
  <c r="DA34" i="4"/>
  <c r="CZ34" i="4"/>
  <c r="CY34" i="4"/>
  <c r="A34" i="4"/>
  <c r="DA33" i="4"/>
  <c r="CZ33" i="4"/>
  <c r="CY33" i="4"/>
  <c r="A33" i="4"/>
  <c r="DA32" i="4"/>
  <c r="CZ32" i="4"/>
  <c r="CY32" i="4"/>
  <c r="A32" i="4"/>
  <c r="DA31" i="4"/>
  <c r="CZ31" i="4"/>
  <c r="CY31" i="4"/>
  <c r="A31" i="4"/>
  <c r="DA30" i="4"/>
  <c r="CZ30" i="4"/>
  <c r="CY30" i="4"/>
  <c r="A30" i="4"/>
  <c r="DA29" i="4"/>
  <c r="CZ29" i="4"/>
  <c r="CY29" i="4"/>
  <c r="A29" i="4"/>
  <c r="DA28" i="4"/>
  <c r="CZ28" i="4"/>
  <c r="CY28" i="4"/>
  <c r="A28" i="4"/>
  <c r="DA27" i="4"/>
  <c r="CZ27" i="4"/>
  <c r="CY27" i="4"/>
  <c r="A27" i="4"/>
  <c r="DA26" i="4"/>
  <c r="CZ26" i="4"/>
  <c r="CY26" i="4"/>
  <c r="A26" i="4"/>
  <c r="DA25" i="4"/>
  <c r="CZ25" i="4"/>
  <c r="CY25" i="4"/>
  <c r="A25" i="4"/>
  <c r="DA24" i="4"/>
  <c r="CZ24" i="4"/>
  <c r="CY24" i="4"/>
  <c r="A24" i="4"/>
  <c r="DA23" i="4"/>
  <c r="CZ23" i="4"/>
  <c r="CY23" i="4"/>
  <c r="A23" i="4"/>
  <c r="DA22" i="4"/>
  <c r="CZ22" i="4"/>
  <c r="CY22" i="4"/>
  <c r="A22" i="4"/>
  <c r="DA21" i="4"/>
  <c r="CZ21" i="4"/>
  <c r="CY21" i="4"/>
  <c r="A21" i="4"/>
  <c r="DA20" i="4"/>
  <c r="CZ20" i="4"/>
  <c r="CY20" i="4"/>
  <c r="A20" i="4"/>
  <c r="DA19" i="4"/>
  <c r="CZ19" i="4"/>
  <c r="CY19" i="4"/>
  <c r="A19" i="4"/>
  <c r="DA18" i="4"/>
  <c r="CZ18" i="4"/>
  <c r="CY18" i="4"/>
  <c r="A18" i="4"/>
  <c r="DA17" i="4"/>
  <c r="CZ17" i="4"/>
  <c r="CY17" i="4"/>
  <c r="A17" i="4"/>
  <c r="DA16" i="4"/>
  <c r="CZ16" i="4"/>
  <c r="CY16" i="4"/>
  <c r="A16" i="4"/>
  <c r="DA15" i="4"/>
  <c r="CZ15" i="4"/>
  <c r="CY15" i="4"/>
  <c r="A15" i="4"/>
  <c r="DA14" i="4"/>
  <c r="CZ14" i="4"/>
  <c r="CY14" i="4"/>
  <c r="A14" i="4"/>
  <c r="DA13" i="4"/>
  <c r="CZ13" i="4"/>
  <c r="CY13" i="4"/>
  <c r="A13" i="4"/>
  <c r="DA12" i="4"/>
  <c r="CZ12" i="4"/>
  <c r="CY12" i="4"/>
  <c r="A12" i="4"/>
  <c r="DA11" i="4"/>
  <c r="CZ11" i="4"/>
  <c r="CY11" i="4"/>
  <c r="A11" i="4"/>
  <c r="DA10" i="4"/>
  <c r="CZ10" i="4"/>
  <c r="CY10" i="4"/>
  <c r="A10" i="4"/>
  <c r="DA9" i="4"/>
  <c r="CZ9" i="4"/>
  <c r="CY9" i="4"/>
  <c r="A9" i="4"/>
  <c r="DA8" i="4"/>
  <c r="CZ8" i="4"/>
  <c r="CY8" i="4"/>
  <c r="A8" i="4"/>
  <c r="DA7" i="4"/>
  <c r="CZ7" i="4"/>
  <c r="CY7" i="4"/>
  <c r="A7" i="4"/>
  <c r="DA6" i="4"/>
  <c r="CZ6" i="4"/>
  <c r="CY6" i="4"/>
  <c r="A6" i="4"/>
  <c r="DA5" i="4"/>
  <c r="CZ5" i="4"/>
  <c r="CY5" i="4"/>
  <c r="A5" i="4"/>
  <c r="DA4" i="4"/>
  <c r="CZ4" i="4"/>
  <c r="CY4" i="4"/>
  <c r="A4" i="4"/>
  <c r="DA3" i="4"/>
  <c r="CZ3" i="4"/>
  <c r="CY3" i="4"/>
  <c r="A3" i="4"/>
  <c r="DA2" i="4"/>
  <c r="CZ2" i="4"/>
  <c r="CY2" i="4"/>
  <c r="A2" i="4"/>
  <c r="DA1" i="4"/>
  <c r="CZ1" i="4"/>
  <c r="CY1" i="4"/>
  <c r="A1" i="4"/>
  <c r="G149" i="2"/>
  <c r="F149" i="2"/>
  <c r="D149" i="2"/>
  <c r="C149" i="2"/>
  <c r="B149" i="2"/>
  <c r="G120" i="2"/>
  <c r="F120" i="2"/>
  <c r="D120" i="2"/>
  <c r="C120" i="2"/>
  <c r="C22" i="2" s="1"/>
  <c r="B120" i="2"/>
  <c r="CL91" i="2"/>
  <c r="BC91" i="2" s="1"/>
  <c r="F107" i="2" s="1"/>
  <c r="CK91" i="2"/>
  <c r="BB91" i="2" s="1"/>
  <c r="F104" i="2" s="1"/>
  <c r="BX91" i="2"/>
  <c r="BX86" i="2" s="1"/>
  <c r="G91" i="2"/>
  <c r="F91" i="2"/>
  <c r="D91" i="2"/>
  <c r="C91" i="2"/>
  <c r="C86" i="2" s="1"/>
  <c r="B91" i="2"/>
  <c r="GV89" i="2"/>
  <c r="GP89" i="2"/>
  <c r="GO89" i="2"/>
  <c r="GL89" i="2"/>
  <c r="FR89" i="2"/>
  <c r="AJ89" i="2"/>
  <c r="CX89" i="2" s="1"/>
  <c r="AI89" i="2"/>
  <c r="CW89" i="2" s="1"/>
  <c r="AH89" i="2"/>
  <c r="CV89" i="2" s="1"/>
  <c r="AG89" i="2"/>
  <c r="CU89" i="2" s="1"/>
  <c r="AF89" i="2"/>
  <c r="CT89" i="2" s="1"/>
  <c r="AE89" i="2"/>
  <c r="CS89" i="2" s="1"/>
  <c r="AD89" i="2"/>
  <c r="CR89" i="2" s="1"/>
  <c r="AC89" i="2"/>
  <c r="CQ89" i="2" s="1"/>
  <c r="D89" i="2"/>
  <c r="C89" i="2"/>
  <c r="GV88" i="2"/>
  <c r="GP88" i="2"/>
  <c r="GO88" i="2"/>
  <c r="GL88" i="2"/>
  <c r="FR88" i="2"/>
  <c r="BY91" i="2" s="1"/>
  <c r="AJ88" i="2"/>
  <c r="CX88" i="2" s="1"/>
  <c r="AI88" i="2"/>
  <c r="CW88" i="2" s="1"/>
  <c r="AH88" i="2"/>
  <c r="CV88" i="2" s="1"/>
  <c r="AG88" i="2"/>
  <c r="CU88" i="2" s="1"/>
  <c r="AF88" i="2"/>
  <c r="CT88" i="2" s="1"/>
  <c r="AE88" i="2"/>
  <c r="CS88" i="2" s="1"/>
  <c r="AD88" i="2"/>
  <c r="AC88" i="2"/>
  <c r="CQ88" i="2" s="1"/>
  <c r="D88" i="2"/>
  <c r="C88" i="2"/>
  <c r="GX86" i="2"/>
  <c r="GW86" i="2"/>
  <c r="GV86" i="2"/>
  <c r="GU86" i="2"/>
  <c r="GT86" i="2"/>
  <c r="GS86" i="2"/>
  <c r="GR86" i="2"/>
  <c r="GQ86" i="2"/>
  <c r="GP86" i="2"/>
  <c r="GO86" i="2"/>
  <c r="GN86" i="2"/>
  <c r="GM86" i="2"/>
  <c r="GL86" i="2"/>
  <c r="GK86" i="2"/>
  <c r="GJ86" i="2"/>
  <c r="GI86" i="2"/>
  <c r="GH86" i="2"/>
  <c r="GG86" i="2"/>
  <c r="GF86" i="2"/>
  <c r="GE86" i="2"/>
  <c r="GD86" i="2"/>
  <c r="GC86" i="2"/>
  <c r="GB86" i="2"/>
  <c r="GA86" i="2"/>
  <c r="FZ86" i="2"/>
  <c r="FY86" i="2"/>
  <c r="FX86" i="2"/>
  <c r="FW86" i="2"/>
  <c r="FV86" i="2"/>
  <c r="FU86" i="2"/>
  <c r="FT86" i="2"/>
  <c r="FS86" i="2"/>
  <c r="FR86" i="2"/>
  <c r="FQ86" i="2"/>
  <c r="FP86" i="2"/>
  <c r="FO86" i="2"/>
  <c r="FN86" i="2"/>
  <c r="FM86" i="2"/>
  <c r="FL86" i="2"/>
  <c r="FK86" i="2"/>
  <c r="FJ86" i="2"/>
  <c r="FI86" i="2"/>
  <c r="FH86" i="2"/>
  <c r="FG86" i="2"/>
  <c r="FF86" i="2"/>
  <c r="FE86" i="2"/>
  <c r="FD86" i="2"/>
  <c r="FC86" i="2"/>
  <c r="FB86" i="2"/>
  <c r="FA86" i="2"/>
  <c r="EZ86" i="2"/>
  <c r="EY86" i="2"/>
  <c r="EX86" i="2"/>
  <c r="EW86" i="2"/>
  <c r="EV86" i="2"/>
  <c r="EU86" i="2"/>
  <c r="ET86" i="2"/>
  <c r="ES86" i="2"/>
  <c r="ER86" i="2"/>
  <c r="EQ86" i="2"/>
  <c r="EP86" i="2"/>
  <c r="EO86" i="2"/>
  <c r="EN86" i="2"/>
  <c r="EM86" i="2"/>
  <c r="EL86" i="2"/>
  <c r="EK86" i="2"/>
  <c r="EJ86" i="2"/>
  <c r="EI86" i="2"/>
  <c r="EH86" i="2"/>
  <c r="EG86" i="2"/>
  <c r="EF86" i="2"/>
  <c r="EE86" i="2"/>
  <c r="ED86" i="2"/>
  <c r="EC86" i="2"/>
  <c r="EB86" i="2"/>
  <c r="EA86" i="2"/>
  <c r="DZ86" i="2"/>
  <c r="DY86" i="2"/>
  <c r="DX86" i="2"/>
  <c r="DW86" i="2"/>
  <c r="DV86" i="2"/>
  <c r="DU86" i="2"/>
  <c r="DT86" i="2"/>
  <c r="DS86" i="2"/>
  <c r="DR86" i="2"/>
  <c r="DQ86" i="2"/>
  <c r="DP86" i="2"/>
  <c r="DO86" i="2"/>
  <c r="DN86" i="2"/>
  <c r="DM86" i="2"/>
  <c r="DL86" i="2"/>
  <c r="DK86" i="2"/>
  <c r="DJ86" i="2"/>
  <c r="DI86" i="2"/>
  <c r="DH86" i="2"/>
  <c r="DG86" i="2"/>
  <c r="DF86" i="2"/>
  <c r="DE86" i="2"/>
  <c r="DD86" i="2"/>
  <c r="DC86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AN86" i="2"/>
  <c r="AM86" i="2"/>
  <c r="AA86" i="2"/>
  <c r="Z86" i="2"/>
  <c r="G86" i="2"/>
  <c r="F86" i="2"/>
  <c r="E86" i="2"/>
  <c r="D86" i="2"/>
  <c r="B86" i="2"/>
  <c r="D84" i="2"/>
  <c r="CL55" i="2"/>
  <c r="BC55" i="2" s="1"/>
  <c r="CK55" i="2"/>
  <c r="BB55" i="2" s="1"/>
  <c r="BB26" i="2" s="1"/>
  <c r="BX55" i="2"/>
  <c r="G55" i="2"/>
  <c r="F55" i="2"/>
  <c r="D55" i="2"/>
  <c r="C55" i="2"/>
  <c r="C26" i="2" s="1"/>
  <c r="B55" i="2"/>
  <c r="B26" i="2" s="1"/>
  <c r="GV53" i="2"/>
  <c r="GP53" i="2"/>
  <c r="GO53" i="2"/>
  <c r="GL53" i="2"/>
  <c r="FR53" i="2"/>
  <c r="AJ53" i="2"/>
  <c r="CX53" i="2" s="1"/>
  <c r="AI53" i="2"/>
  <c r="CW53" i="2" s="1"/>
  <c r="AH53" i="2"/>
  <c r="CV53" i="2" s="1"/>
  <c r="AG53" i="2"/>
  <c r="CU53" i="2" s="1"/>
  <c r="AF53" i="2"/>
  <c r="CT53" i="2" s="1"/>
  <c r="AE53" i="2"/>
  <c r="AC53" i="2"/>
  <c r="GV52" i="2"/>
  <c r="GP52" i="2"/>
  <c r="GO52" i="2"/>
  <c r="GL52" i="2"/>
  <c r="FR52" i="2"/>
  <c r="CW52" i="2"/>
  <c r="AJ52" i="2"/>
  <c r="CX52" i="2" s="1"/>
  <c r="AI52" i="2"/>
  <c r="AH52" i="2"/>
  <c r="CV52" i="2" s="1"/>
  <c r="AG52" i="2"/>
  <c r="CU52" i="2" s="1"/>
  <c r="AF52" i="2"/>
  <c r="CT52" i="2" s="1"/>
  <c r="AE52" i="2"/>
  <c r="CS52" i="2" s="1"/>
  <c r="R52" i="2" s="1"/>
  <c r="GK52" i="2" s="1"/>
  <c r="AD52" i="2"/>
  <c r="AC52" i="2"/>
  <c r="I52" i="2"/>
  <c r="D52" i="2"/>
  <c r="C52" i="2"/>
  <c r="GV51" i="2"/>
  <c r="GP51" i="2"/>
  <c r="GO51" i="2"/>
  <c r="GL51" i="2"/>
  <c r="FR51" i="2"/>
  <c r="AJ51" i="2"/>
  <c r="CX51" i="2" s="1"/>
  <c r="AI51" i="2"/>
  <c r="CW51" i="2" s="1"/>
  <c r="AH51" i="2"/>
  <c r="CV51" i="2" s="1"/>
  <c r="AG51" i="2"/>
  <c r="CU51" i="2" s="1"/>
  <c r="AF51" i="2"/>
  <c r="CT51" i="2" s="1"/>
  <c r="AE51" i="2"/>
  <c r="AC51" i="2"/>
  <c r="GV50" i="2"/>
  <c r="GP50" i="2"/>
  <c r="GO50" i="2"/>
  <c r="GL50" i="2"/>
  <c r="FR50" i="2"/>
  <c r="AJ50" i="2"/>
  <c r="CX50" i="2" s="1"/>
  <c r="AI50" i="2"/>
  <c r="CW50" i="2" s="1"/>
  <c r="AH50" i="2"/>
  <c r="CV50" i="2" s="1"/>
  <c r="AG50" i="2"/>
  <c r="CU50" i="2" s="1"/>
  <c r="AF50" i="2"/>
  <c r="CT50" i="2" s="1"/>
  <c r="AE50" i="2"/>
  <c r="CS50" i="2" s="1"/>
  <c r="R50" i="2" s="1"/>
  <c r="AC50" i="2"/>
  <c r="CQ50" i="2" s="1"/>
  <c r="I50" i="2"/>
  <c r="D50" i="2"/>
  <c r="C50" i="2"/>
  <c r="GV49" i="2"/>
  <c r="GP49" i="2"/>
  <c r="GO49" i="2"/>
  <c r="GL49" i="2"/>
  <c r="FR49" i="2"/>
  <c r="AJ49" i="2"/>
  <c r="CX49" i="2" s="1"/>
  <c r="AI49" i="2"/>
  <c r="CW49" i="2" s="1"/>
  <c r="AH49" i="2"/>
  <c r="CV49" i="2" s="1"/>
  <c r="AG49" i="2"/>
  <c r="CU49" i="2" s="1"/>
  <c r="AF49" i="2"/>
  <c r="CT49" i="2" s="1"/>
  <c r="AE49" i="2"/>
  <c r="AC49" i="2"/>
  <c r="GV48" i="2"/>
  <c r="GP48" i="2"/>
  <c r="GO48" i="2"/>
  <c r="GL48" i="2"/>
  <c r="FR48" i="2"/>
  <c r="AJ48" i="2"/>
  <c r="CX48" i="2" s="1"/>
  <c r="W48" i="2" s="1"/>
  <c r="AI48" i="2"/>
  <c r="CW48" i="2" s="1"/>
  <c r="V48" i="2" s="1"/>
  <c r="AH48" i="2"/>
  <c r="CV48" i="2" s="1"/>
  <c r="AG48" i="2"/>
  <c r="CU48" i="2" s="1"/>
  <c r="AF48" i="2"/>
  <c r="AE48" i="2"/>
  <c r="CS48" i="2" s="1"/>
  <c r="R48" i="2" s="1"/>
  <c r="GK48" i="2" s="1"/>
  <c r="AC48" i="2"/>
  <c r="CQ48" i="2" s="1"/>
  <c r="P48" i="2" s="1"/>
  <c r="J153" i="1" s="1"/>
  <c r="I48" i="2"/>
  <c r="D48" i="2"/>
  <c r="C48" i="2"/>
  <c r="GV47" i="2"/>
  <c r="GP47" i="2"/>
  <c r="GO47" i="2"/>
  <c r="GL47" i="2"/>
  <c r="FR47" i="2"/>
  <c r="AJ47" i="2"/>
  <c r="CX47" i="2" s="1"/>
  <c r="AI47" i="2"/>
  <c r="CW47" i="2" s="1"/>
  <c r="AH47" i="2"/>
  <c r="CV47" i="2" s="1"/>
  <c r="AG47" i="2"/>
  <c r="CU47" i="2" s="1"/>
  <c r="AF47" i="2"/>
  <c r="CT47" i="2" s="1"/>
  <c r="S47" i="2" s="1"/>
  <c r="AE47" i="2"/>
  <c r="AC47" i="2"/>
  <c r="CQ47" i="2" s="1"/>
  <c r="I47" i="2"/>
  <c r="GV46" i="2"/>
  <c r="GX46" i="2" s="1"/>
  <c r="GP46" i="2"/>
  <c r="GO46" i="2"/>
  <c r="GL46" i="2"/>
  <c r="FR46" i="2"/>
  <c r="AJ46" i="2"/>
  <c r="CX46" i="2" s="1"/>
  <c r="AI46" i="2"/>
  <c r="CW46" i="2" s="1"/>
  <c r="V46" i="2" s="1"/>
  <c r="AH46" i="2"/>
  <c r="CV46" i="2" s="1"/>
  <c r="AG46" i="2"/>
  <c r="CU46" i="2" s="1"/>
  <c r="T46" i="2" s="1"/>
  <c r="AF46" i="2"/>
  <c r="CT46" i="2" s="1"/>
  <c r="AE46" i="2"/>
  <c r="AD46" i="2" s="1"/>
  <c r="AC46" i="2"/>
  <c r="CQ46" i="2" s="1"/>
  <c r="I46" i="2"/>
  <c r="D46" i="2"/>
  <c r="C46" i="2"/>
  <c r="GV45" i="2"/>
  <c r="GP45" i="2"/>
  <c r="GO45" i="2"/>
  <c r="GL45" i="2"/>
  <c r="FR45" i="2"/>
  <c r="AJ45" i="2"/>
  <c r="CX45" i="2" s="1"/>
  <c r="W45" i="2" s="1"/>
  <c r="AI45" i="2"/>
  <c r="CW45" i="2" s="1"/>
  <c r="AH45" i="2"/>
  <c r="CV45" i="2" s="1"/>
  <c r="AG45" i="2"/>
  <c r="CU45" i="2" s="1"/>
  <c r="T45" i="2" s="1"/>
  <c r="AF45" i="2"/>
  <c r="CT45" i="2" s="1"/>
  <c r="AE45" i="2"/>
  <c r="AC45" i="2"/>
  <c r="CQ45" i="2" s="1"/>
  <c r="I45" i="2"/>
  <c r="D45" i="2"/>
  <c r="C45" i="2"/>
  <c r="GV44" i="2"/>
  <c r="GP44" i="2"/>
  <c r="GO44" i="2"/>
  <c r="GL44" i="2"/>
  <c r="FR44" i="2"/>
  <c r="AJ44" i="2"/>
  <c r="CX44" i="2" s="1"/>
  <c r="AI44" i="2"/>
  <c r="CW44" i="2" s="1"/>
  <c r="AH44" i="2"/>
  <c r="CV44" i="2" s="1"/>
  <c r="AG44" i="2"/>
  <c r="CU44" i="2" s="1"/>
  <c r="AF44" i="2"/>
  <c r="AE44" i="2"/>
  <c r="AC44" i="2"/>
  <c r="CQ44" i="2" s="1"/>
  <c r="GV43" i="2"/>
  <c r="GP43" i="2"/>
  <c r="GO43" i="2"/>
  <c r="GL43" i="2"/>
  <c r="FR43" i="2"/>
  <c r="CT43" i="2"/>
  <c r="AJ43" i="2"/>
  <c r="CX43" i="2" s="1"/>
  <c r="AI43" i="2"/>
  <c r="CW43" i="2" s="1"/>
  <c r="AH43" i="2"/>
  <c r="CV43" i="2" s="1"/>
  <c r="AG43" i="2"/>
  <c r="CU43" i="2" s="1"/>
  <c r="T43" i="2" s="1"/>
  <c r="AF43" i="2"/>
  <c r="AE43" i="2"/>
  <c r="CS43" i="2" s="1"/>
  <c r="AC43" i="2"/>
  <c r="H125" i="1" s="1"/>
  <c r="S43" i="2"/>
  <c r="J122" i="1" s="1"/>
  <c r="I43" i="2"/>
  <c r="I44" i="2" s="1"/>
  <c r="E126" i="1" s="1"/>
  <c r="D43" i="2"/>
  <c r="C43" i="2"/>
  <c r="GV42" i="2"/>
  <c r="GP42" i="2"/>
  <c r="GO42" i="2"/>
  <c r="GL42" i="2"/>
  <c r="FR42" i="2"/>
  <c r="AJ42" i="2"/>
  <c r="CX42" i="2" s="1"/>
  <c r="AI42" i="2"/>
  <c r="CW42" i="2" s="1"/>
  <c r="AH42" i="2"/>
  <c r="CV42" i="2" s="1"/>
  <c r="AG42" i="2"/>
  <c r="CU42" i="2" s="1"/>
  <c r="AF42" i="2"/>
  <c r="CT42" i="2" s="1"/>
  <c r="AE42" i="2"/>
  <c r="CS42" i="2" s="1"/>
  <c r="AC42" i="2"/>
  <c r="CQ42" i="2" s="1"/>
  <c r="GV41" i="2"/>
  <c r="GP41" i="2"/>
  <c r="GO41" i="2"/>
  <c r="GL41" i="2"/>
  <c r="FR41" i="2"/>
  <c r="AJ41" i="2"/>
  <c r="CX41" i="2" s="1"/>
  <c r="AI41" i="2"/>
  <c r="CW41" i="2" s="1"/>
  <c r="AH41" i="2"/>
  <c r="CV41" i="2" s="1"/>
  <c r="AG41" i="2"/>
  <c r="CU41" i="2" s="1"/>
  <c r="AF41" i="2"/>
  <c r="CT41" i="2" s="1"/>
  <c r="S41" i="2" s="1"/>
  <c r="J112" i="1" s="1"/>
  <c r="AE41" i="2"/>
  <c r="CS41" i="2" s="1"/>
  <c r="AC41" i="2"/>
  <c r="I41" i="2"/>
  <c r="I42" i="2" s="1"/>
  <c r="D41" i="2"/>
  <c r="C41" i="2"/>
  <c r="GV40" i="2"/>
  <c r="GP40" i="2"/>
  <c r="GO40" i="2"/>
  <c r="GL40" i="2"/>
  <c r="FR40" i="2"/>
  <c r="CW40" i="2"/>
  <c r="CT40" i="2"/>
  <c r="AJ40" i="2"/>
  <c r="CX40" i="2" s="1"/>
  <c r="AI40" i="2"/>
  <c r="AH40" i="2"/>
  <c r="CV40" i="2" s="1"/>
  <c r="AG40" i="2"/>
  <c r="CU40" i="2" s="1"/>
  <c r="AF40" i="2"/>
  <c r="AE40" i="2"/>
  <c r="AC40" i="2"/>
  <c r="GV39" i="2"/>
  <c r="GP39" i="2"/>
  <c r="GO39" i="2"/>
  <c r="GL39" i="2"/>
  <c r="FR39" i="2"/>
  <c r="AJ39" i="2"/>
  <c r="CX39" i="2" s="1"/>
  <c r="W39" i="2" s="1"/>
  <c r="AI39" i="2"/>
  <c r="CW39" i="2" s="1"/>
  <c r="AH39" i="2"/>
  <c r="CV39" i="2" s="1"/>
  <c r="AG39" i="2"/>
  <c r="CU39" i="2" s="1"/>
  <c r="AF39" i="2"/>
  <c r="AE39" i="2"/>
  <c r="AC39" i="2"/>
  <c r="CQ39" i="2" s="1"/>
  <c r="I39" i="2"/>
  <c r="D39" i="2"/>
  <c r="C39" i="2"/>
  <c r="GV38" i="2"/>
  <c r="GP38" i="2"/>
  <c r="GO38" i="2"/>
  <c r="GL38" i="2"/>
  <c r="FR38" i="2"/>
  <c r="AJ38" i="2"/>
  <c r="CX38" i="2" s="1"/>
  <c r="AI38" i="2"/>
  <c r="CW38" i="2" s="1"/>
  <c r="AH38" i="2"/>
  <c r="CV38" i="2" s="1"/>
  <c r="U38" i="2" s="1"/>
  <c r="H99" i="1" s="1"/>
  <c r="AG38" i="2"/>
  <c r="CU38" i="2" s="1"/>
  <c r="AF38" i="2"/>
  <c r="AE38" i="2"/>
  <c r="CS38" i="2" s="1"/>
  <c r="AC38" i="2"/>
  <c r="I38" i="2"/>
  <c r="D38" i="2"/>
  <c r="C38" i="2"/>
  <c r="GV37" i="2"/>
  <c r="GP37" i="2"/>
  <c r="GO37" i="2"/>
  <c r="GL37" i="2"/>
  <c r="FR37" i="2"/>
  <c r="AJ37" i="2"/>
  <c r="CX37" i="2" s="1"/>
  <c r="AI37" i="2"/>
  <c r="CW37" i="2" s="1"/>
  <c r="AH37" i="2"/>
  <c r="CV37" i="2" s="1"/>
  <c r="AG37" i="2"/>
  <c r="CU37" i="2" s="1"/>
  <c r="AF37" i="2"/>
  <c r="CT37" i="2" s="1"/>
  <c r="AE37" i="2"/>
  <c r="CS37" i="2" s="1"/>
  <c r="R37" i="2" s="1"/>
  <c r="GK37" i="2" s="1"/>
  <c r="AC37" i="2"/>
  <c r="CQ37" i="2" s="1"/>
  <c r="GV36" i="2"/>
  <c r="GP36" i="2"/>
  <c r="GO36" i="2"/>
  <c r="GL36" i="2"/>
  <c r="FR36" i="2"/>
  <c r="CX36" i="2"/>
  <c r="AJ36" i="2"/>
  <c r="AI36" i="2"/>
  <c r="CW36" i="2" s="1"/>
  <c r="AH36" i="2"/>
  <c r="CV36" i="2" s="1"/>
  <c r="AG36" i="2"/>
  <c r="CU36" i="2" s="1"/>
  <c r="AF36" i="2"/>
  <c r="CT36" i="2" s="1"/>
  <c r="AE36" i="2"/>
  <c r="AC36" i="2"/>
  <c r="I36" i="2"/>
  <c r="I37" i="2" s="1"/>
  <c r="D36" i="2"/>
  <c r="C36" i="2"/>
  <c r="GV35" i="2"/>
  <c r="GP35" i="2"/>
  <c r="GO35" i="2"/>
  <c r="GL35" i="2"/>
  <c r="FR35" i="2"/>
  <c r="AJ35" i="2"/>
  <c r="CX35" i="2" s="1"/>
  <c r="AI35" i="2"/>
  <c r="CW35" i="2" s="1"/>
  <c r="AH35" i="2"/>
  <c r="CV35" i="2" s="1"/>
  <c r="AG35" i="2"/>
  <c r="CU35" i="2" s="1"/>
  <c r="AF35" i="2"/>
  <c r="CT35" i="2" s="1"/>
  <c r="AE35" i="2"/>
  <c r="AC35" i="2"/>
  <c r="CQ35" i="2" s="1"/>
  <c r="GV34" i="2"/>
  <c r="GP34" i="2"/>
  <c r="GO34" i="2"/>
  <c r="GL34" i="2"/>
  <c r="FR34" i="2"/>
  <c r="AJ34" i="2"/>
  <c r="CX34" i="2" s="1"/>
  <c r="W34" i="2" s="1"/>
  <c r="AI34" i="2"/>
  <c r="CW34" i="2" s="1"/>
  <c r="AH34" i="2"/>
  <c r="CV34" i="2" s="1"/>
  <c r="AG34" i="2"/>
  <c r="CU34" i="2" s="1"/>
  <c r="AF34" i="2"/>
  <c r="AE34" i="2"/>
  <c r="AD34" i="2" s="1"/>
  <c r="CR34" i="2" s="1"/>
  <c r="AC34" i="2"/>
  <c r="CQ34" i="2" s="1"/>
  <c r="I34" i="2"/>
  <c r="D34" i="2"/>
  <c r="C34" i="2"/>
  <c r="GV33" i="2"/>
  <c r="GP33" i="2"/>
  <c r="GO33" i="2"/>
  <c r="GL33" i="2"/>
  <c r="FR33" i="2"/>
  <c r="AJ33" i="2"/>
  <c r="CX33" i="2" s="1"/>
  <c r="AI33" i="2"/>
  <c r="CW33" i="2" s="1"/>
  <c r="AH33" i="2"/>
  <c r="CV33" i="2" s="1"/>
  <c r="AG33" i="2"/>
  <c r="CU33" i="2" s="1"/>
  <c r="AF33" i="2"/>
  <c r="CT33" i="2" s="1"/>
  <c r="AE33" i="2"/>
  <c r="CS33" i="2" s="1"/>
  <c r="AC33" i="2"/>
  <c r="CQ33" i="2" s="1"/>
  <c r="I33" i="2"/>
  <c r="D33" i="2"/>
  <c r="C33" i="2"/>
  <c r="GV32" i="2"/>
  <c r="GP32" i="2"/>
  <c r="GO32" i="2"/>
  <c r="GL32" i="2"/>
  <c r="FR32" i="2"/>
  <c r="AJ32" i="2"/>
  <c r="CX32" i="2" s="1"/>
  <c r="AI32" i="2"/>
  <c r="CW32" i="2" s="1"/>
  <c r="AH32" i="2"/>
  <c r="CV32" i="2" s="1"/>
  <c r="AG32" i="2"/>
  <c r="CU32" i="2" s="1"/>
  <c r="AF32" i="2"/>
  <c r="CT32" i="2" s="1"/>
  <c r="AE32" i="2"/>
  <c r="CS32" i="2" s="1"/>
  <c r="AC32" i="2"/>
  <c r="CQ32" i="2" s="1"/>
  <c r="GV31" i="2"/>
  <c r="GP31" i="2"/>
  <c r="GO31" i="2"/>
  <c r="GL31" i="2"/>
  <c r="FR31" i="2"/>
  <c r="AJ31" i="2"/>
  <c r="CX31" i="2" s="1"/>
  <c r="AI31" i="2"/>
  <c r="CW31" i="2" s="1"/>
  <c r="AH31" i="2"/>
  <c r="CV31" i="2" s="1"/>
  <c r="AG31" i="2"/>
  <c r="CU31" i="2" s="1"/>
  <c r="AF31" i="2"/>
  <c r="CT31" i="2" s="1"/>
  <c r="AE31" i="2"/>
  <c r="CS31" i="2" s="1"/>
  <c r="AC31" i="2"/>
  <c r="CQ31" i="2" s="1"/>
  <c r="I31" i="2"/>
  <c r="D31" i="2"/>
  <c r="C31" i="2"/>
  <c r="GV30" i="2"/>
  <c r="GP30" i="2"/>
  <c r="GO30" i="2"/>
  <c r="GL30" i="2"/>
  <c r="FR30" i="2"/>
  <c r="AJ30" i="2"/>
  <c r="CX30" i="2" s="1"/>
  <c r="AI30" i="2"/>
  <c r="CW30" i="2" s="1"/>
  <c r="AH30" i="2"/>
  <c r="CV30" i="2" s="1"/>
  <c r="AG30" i="2"/>
  <c r="CU30" i="2" s="1"/>
  <c r="T30" i="2" s="1"/>
  <c r="AF30" i="2"/>
  <c r="CT30" i="2" s="1"/>
  <c r="AE30" i="2"/>
  <c r="CS30" i="2" s="1"/>
  <c r="AC30" i="2"/>
  <c r="CQ30" i="2" s="1"/>
  <c r="P30" i="2" s="1"/>
  <c r="J50" i="1" s="1"/>
  <c r="I30" i="2"/>
  <c r="D30" i="2"/>
  <c r="C30" i="2"/>
  <c r="GV29" i="2"/>
  <c r="GP29" i="2"/>
  <c r="GO29" i="2"/>
  <c r="GL29" i="2"/>
  <c r="FR29" i="2"/>
  <c r="CX29" i="2"/>
  <c r="AJ29" i="2"/>
  <c r="AI29" i="2"/>
  <c r="CW29" i="2" s="1"/>
  <c r="AH29" i="2"/>
  <c r="CV29" i="2" s="1"/>
  <c r="AG29" i="2"/>
  <c r="CU29" i="2" s="1"/>
  <c r="AF29" i="2"/>
  <c r="CT29" i="2" s="1"/>
  <c r="AE29" i="2"/>
  <c r="CS29" i="2" s="1"/>
  <c r="AD29" i="2"/>
  <c r="CR29" i="2" s="1"/>
  <c r="AC29" i="2"/>
  <c r="CQ29" i="2" s="1"/>
  <c r="D29" i="2"/>
  <c r="C29" i="2"/>
  <c r="GV28" i="2"/>
  <c r="GP28" i="2"/>
  <c r="GO28" i="2"/>
  <c r="GL28" i="2"/>
  <c r="FR28" i="2"/>
  <c r="AJ28" i="2"/>
  <c r="CX28" i="2" s="1"/>
  <c r="AI28" i="2"/>
  <c r="CW28" i="2" s="1"/>
  <c r="AH28" i="2"/>
  <c r="CV28" i="2" s="1"/>
  <c r="AG28" i="2"/>
  <c r="CU28" i="2" s="1"/>
  <c r="AF28" i="2"/>
  <c r="CT28" i="2" s="1"/>
  <c r="AE28" i="2"/>
  <c r="AC28" i="2"/>
  <c r="CQ28" i="2" s="1"/>
  <c r="I28" i="2"/>
  <c r="I29" i="2" s="1"/>
  <c r="D28" i="2"/>
  <c r="C28" i="2"/>
  <c r="GX26" i="2"/>
  <c r="GW26" i="2"/>
  <c r="GV26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K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AN26" i="2"/>
  <c r="AM26" i="2"/>
  <c r="AA26" i="2"/>
  <c r="Z26" i="2"/>
  <c r="F26" i="2"/>
  <c r="E26" i="2"/>
  <c r="D26" i="2"/>
  <c r="D24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F22" i="2"/>
  <c r="E22" i="2"/>
  <c r="D22" i="2"/>
  <c r="B22" i="2"/>
  <c r="D20" i="2"/>
  <c r="GX18" i="2"/>
  <c r="GW18" i="2"/>
  <c r="GV18" i="2"/>
  <c r="GU18" i="2"/>
  <c r="GT18" i="2"/>
  <c r="GS18" i="2"/>
  <c r="GR18" i="2"/>
  <c r="GQ18" i="2"/>
  <c r="GP18" i="2"/>
  <c r="GO18" i="2"/>
  <c r="GN18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A18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G18" i="2"/>
  <c r="F18" i="2"/>
  <c r="E18" i="2"/>
  <c r="D18" i="2"/>
  <c r="C18" i="2"/>
  <c r="B18" i="2"/>
  <c r="D12" i="2"/>
  <c r="H210" i="1"/>
  <c r="C210" i="1"/>
  <c r="H207" i="1"/>
  <c r="C207" i="1"/>
  <c r="C203" i="1"/>
  <c r="C202" i="1"/>
  <c r="C201" i="1"/>
  <c r="A199" i="1"/>
  <c r="A193" i="1"/>
  <c r="I190" i="1"/>
  <c r="G190" i="1"/>
  <c r="F190" i="1"/>
  <c r="I189" i="1"/>
  <c r="D189" i="1"/>
  <c r="C189" i="1"/>
  <c r="B189" i="1"/>
  <c r="A189" i="1"/>
  <c r="G187" i="1"/>
  <c r="E187" i="1"/>
  <c r="I186" i="1"/>
  <c r="G186" i="1"/>
  <c r="F186" i="1"/>
  <c r="I185" i="1"/>
  <c r="G185" i="1"/>
  <c r="F185" i="1"/>
  <c r="I184" i="1"/>
  <c r="D184" i="1"/>
  <c r="C184" i="1"/>
  <c r="B184" i="1"/>
  <c r="A184" i="1"/>
  <c r="A183" i="1"/>
  <c r="G177" i="1"/>
  <c r="E177" i="1"/>
  <c r="I176" i="1"/>
  <c r="F176" i="1"/>
  <c r="E176" i="1"/>
  <c r="C176" i="1"/>
  <c r="I175" i="1"/>
  <c r="F175" i="1"/>
  <c r="E175" i="1"/>
  <c r="C175" i="1"/>
  <c r="I174" i="1"/>
  <c r="F174" i="1"/>
  <c r="D174" i="1"/>
  <c r="C174" i="1"/>
  <c r="B174" i="1"/>
  <c r="A174" i="1"/>
  <c r="I173" i="1"/>
  <c r="H173" i="1"/>
  <c r="G173" i="1"/>
  <c r="F173" i="1"/>
  <c r="I172" i="1"/>
  <c r="G172" i="1"/>
  <c r="F172" i="1"/>
  <c r="I171" i="1"/>
  <c r="G171" i="1"/>
  <c r="F171" i="1"/>
  <c r="I170" i="1"/>
  <c r="H170" i="1"/>
  <c r="Q170" i="1" s="1"/>
  <c r="G170" i="1"/>
  <c r="F170" i="1"/>
  <c r="I169" i="1"/>
  <c r="D169" i="1"/>
  <c r="C169" i="1"/>
  <c r="A169" i="1"/>
  <c r="G167" i="1"/>
  <c r="E167" i="1"/>
  <c r="I166" i="1"/>
  <c r="F166" i="1"/>
  <c r="E166" i="1"/>
  <c r="C166" i="1"/>
  <c r="I165" i="1"/>
  <c r="F165" i="1"/>
  <c r="E165" i="1"/>
  <c r="C165" i="1"/>
  <c r="I164" i="1"/>
  <c r="F164" i="1"/>
  <c r="D164" i="1"/>
  <c r="C164" i="1"/>
  <c r="B164" i="1"/>
  <c r="A164" i="1"/>
  <c r="I163" i="1"/>
  <c r="G163" i="1"/>
  <c r="F163" i="1"/>
  <c r="I162" i="1"/>
  <c r="H162" i="1"/>
  <c r="Q162" i="1" s="1"/>
  <c r="G162" i="1"/>
  <c r="F162" i="1"/>
  <c r="I161" i="1"/>
  <c r="G161" i="1"/>
  <c r="F161" i="1"/>
  <c r="I160" i="1"/>
  <c r="H160" i="1"/>
  <c r="Q160" i="1" s="1"/>
  <c r="G160" i="1"/>
  <c r="F160" i="1"/>
  <c r="R159" i="1"/>
  <c r="I159" i="1"/>
  <c r="D159" i="1"/>
  <c r="C159" i="1"/>
  <c r="A159" i="1"/>
  <c r="G157" i="1"/>
  <c r="E157" i="1"/>
  <c r="I156" i="1"/>
  <c r="F156" i="1"/>
  <c r="E156" i="1"/>
  <c r="C156" i="1"/>
  <c r="I155" i="1"/>
  <c r="F155" i="1"/>
  <c r="E155" i="1"/>
  <c r="C155" i="1"/>
  <c r="I154" i="1"/>
  <c r="F154" i="1"/>
  <c r="D154" i="1"/>
  <c r="C154" i="1"/>
  <c r="B154" i="1"/>
  <c r="A154" i="1"/>
  <c r="I153" i="1"/>
  <c r="H153" i="1"/>
  <c r="G153" i="1"/>
  <c r="F153" i="1"/>
  <c r="J152" i="1"/>
  <c r="I152" i="1"/>
  <c r="H152" i="1"/>
  <c r="Q152" i="1" s="1"/>
  <c r="G152" i="1"/>
  <c r="F152" i="1"/>
  <c r="I151" i="1"/>
  <c r="G151" i="1"/>
  <c r="F151" i="1"/>
  <c r="I150" i="1"/>
  <c r="G150" i="1"/>
  <c r="F150" i="1"/>
  <c r="R149" i="1"/>
  <c r="I149" i="1"/>
  <c r="E149" i="1"/>
  <c r="D149" i="1"/>
  <c r="C149" i="1"/>
  <c r="A149" i="1"/>
  <c r="G147" i="1"/>
  <c r="E147" i="1"/>
  <c r="I146" i="1"/>
  <c r="F146" i="1"/>
  <c r="E146" i="1"/>
  <c r="C146" i="1"/>
  <c r="I145" i="1"/>
  <c r="F145" i="1"/>
  <c r="E145" i="1"/>
  <c r="C145" i="1"/>
  <c r="T144" i="1"/>
  <c r="I144" i="1"/>
  <c r="F144" i="1"/>
  <c r="E144" i="1"/>
  <c r="D144" i="1"/>
  <c r="C144" i="1"/>
  <c r="B144" i="1"/>
  <c r="A144" i="1"/>
  <c r="I143" i="1"/>
  <c r="H143" i="1"/>
  <c r="G143" i="1"/>
  <c r="F143" i="1"/>
  <c r="I142" i="1"/>
  <c r="H142" i="1"/>
  <c r="Q142" i="1" s="1"/>
  <c r="G142" i="1"/>
  <c r="F142" i="1"/>
  <c r="I141" i="1"/>
  <c r="G141" i="1"/>
  <c r="F141" i="1"/>
  <c r="I140" i="1"/>
  <c r="H140" i="1"/>
  <c r="Q140" i="1" s="1"/>
  <c r="G140" i="1"/>
  <c r="F140" i="1"/>
  <c r="I139" i="1"/>
  <c r="E139" i="1"/>
  <c r="D139" i="1"/>
  <c r="C139" i="1"/>
  <c r="A139" i="1"/>
  <c r="G137" i="1"/>
  <c r="E137" i="1"/>
  <c r="I136" i="1"/>
  <c r="F136" i="1"/>
  <c r="E136" i="1"/>
  <c r="C136" i="1"/>
  <c r="I135" i="1"/>
  <c r="F135" i="1"/>
  <c r="E135" i="1"/>
  <c r="C135" i="1"/>
  <c r="I134" i="1"/>
  <c r="G134" i="1"/>
  <c r="F134" i="1"/>
  <c r="I133" i="1"/>
  <c r="G133" i="1"/>
  <c r="F133" i="1"/>
  <c r="I132" i="1"/>
  <c r="H132" i="1"/>
  <c r="Q132" i="1" s="1"/>
  <c r="G132" i="1"/>
  <c r="F132" i="1"/>
  <c r="T131" i="1"/>
  <c r="H136" i="1" s="1"/>
  <c r="R131" i="1"/>
  <c r="H135" i="1" s="1"/>
  <c r="I131" i="1"/>
  <c r="E131" i="1"/>
  <c r="D131" i="1"/>
  <c r="C131" i="1"/>
  <c r="B131" i="1"/>
  <c r="A131" i="1"/>
  <c r="G129" i="1"/>
  <c r="E129" i="1"/>
  <c r="I128" i="1"/>
  <c r="F128" i="1"/>
  <c r="E128" i="1"/>
  <c r="C128" i="1"/>
  <c r="I127" i="1"/>
  <c r="F127" i="1"/>
  <c r="E127" i="1"/>
  <c r="C127" i="1"/>
  <c r="I126" i="1"/>
  <c r="F126" i="1"/>
  <c r="D126" i="1"/>
  <c r="C126" i="1"/>
  <c r="B126" i="1"/>
  <c r="A126" i="1"/>
  <c r="I125" i="1"/>
  <c r="G125" i="1"/>
  <c r="F125" i="1"/>
  <c r="I124" i="1"/>
  <c r="H124" i="1"/>
  <c r="Q124" i="1" s="1"/>
  <c r="G124" i="1"/>
  <c r="F124" i="1"/>
  <c r="I123" i="1"/>
  <c r="G123" i="1"/>
  <c r="F123" i="1"/>
  <c r="I122" i="1"/>
  <c r="G122" i="1"/>
  <c r="F122" i="1"/>
  <c r="T121" i="1"/>
  <c r="I121" i="1"/>
  <c r="E121" i="1"/>
  <c r="D121" i="1"/>
  <c r="C121" i="1"/>
  <c r="A121" i="1"/>
  <c r="G119" i="1"/>
  <c r="E119" i="1"/>
  <c r="I118" i="1"/>
  <c r="F118" i="1"/>
  <c r="E118" i="1"/>
  <c r="C118" i="1"/>
  <c r="I117" i="1"/>
  <c r="F117" i="1"/>
  <c r="E117" i="1"/>
  <c r="C117" i="1"/>
  <c r="I116" i="1"/>
  <c r="F116" i="1"/>
  <c r="D116" i="1"/>
  <c r="C116" i="1"/>
  <c r="B116" i="1"/>
  <c r="A116" i="1"/>
  <c r="I115" i="1"/>
  <c r="G115" i="1"/>
  <c r="F115" i="1"/>
  <c r="I114" i="1"/>
  <c r="H114" i="1"/>
  <c r="Q114" i="1" s="1"/>
  <c r="G114" i="1"/>
  <c r="F114" i="1"/>
  <c r="I113" i="1"/>
  <c r="G113" i="1"/>
  <c r="F113" i="1"/>
  <c r="I112" i="1"/>
  <c r="H112" i="1"/>
  <c r="Q112" i="1" s="1"/>
  <c r="G112" i="1"/>
  <c r="F112" i="1"/>
  <c r="T111" i="1"/>
  <c r="R111" i="1"/>
  <c r="I111" i="1"/>
  <c r="E111" i="1"/>
  <c r="D111" i="1"/>
  <c r="C111" i="1"/>
  <c r="A111" i="1"/>
  <c r="G109" i="1"/>
  <c r="E109" i="1"/>
  <c r="I108" i="1"/>
  <c r="F108" i="1"/>
  <c r="E108" i="1"/>
  <c r="C108" i="1"/>
  <c r="I107" i="1"/>
  <c r="F107" i="1"/>
  <c r="E107" i="1"/>
  <c r="C107" i="1"/>
  <c r="I106" i="1"/>
  <c r="F106" i="1"/>
  <c r="D106" i="1"/>
  <c r="C106" i="1"/>
  <c r="B106" i="1"/>
  <c r="A106" i="1"/>
  <c r="I105" i="1"/>
  <c r="G105" i="1"/>
  <c r="F105" i="1"/>
  <c r="I104" i="1"/>
  <c r="G104" i="1"/>
  <c r="F104" i="1"/>
  <c r="I103" i="1"/>
  <c r="G103" i="1"/>
  <c r="F103" i="1"/>
  <c r="I102" i="1"/>
  <c r="G102" i="1"/>
  <c r="F102" i="1"/>
  <c r="I101" i="1"/>
  <c r="D101" i="1"/>
  <c r="C101" i="1"/>
  <c r="A101" i="1"/>
  <c r="G99" i="1"/>
  <c r="E99" i="1"/>
  <c r="I98" i="1"/>
  <c r="F98" i="1"/>
  <c r="E98" i="1"/>
  <c r="C98" i="1"/>
  <c r="I97" i="1"/>
  <c r="F97" i="1"/>
  <c r="E97" i="1"/>
  <c r="C97" i="1"/>
  <c r="Q96" i="1"/>
  <c r="I96" i="1"/>
  <c r="H96" i="1"/>
  <c r="G96" i="1"/>
  <c r="F96" i="1"/>
  <c r="I95" i="1"/>
  <c r="G95" i="1"/>
  <c r="F95" i="1"/>
  <c r="I94" i="1"/>
  <c r="G94" i="1"/>
  <c r="F94" i="1"/>
  <c r="I93" i="1"/>
  <c r="E93" i="1"/>
  <c r="D93" i="1"/>
  <c r="C93" i="1"/>
  <c r="B93" i="1"/>
  <c r="A93" i="1"/>
  <c r="G91" i="1"/>
  <c r="E91" i="1"/>
  <c r="I90" i="1"/>
  <c r="F90" i="1"/>
  <c r="E90" i="1"/>
  <c r="C90" i="1"/>
  <c r="I89" i="1"/>
  <c r="F89" i="1"/>
  <c r="E89" i="1"/>
  <c r="C89" i="1"/>
  <c r="T88" i="1"/>
  <c r="I88" i="1"/>
  <c r="F88" i="1"/>
  <c r="D88" i="1"/>
  <c r="C88" i="1"/>
  <c r="B88" i="1"/>
  <c r="A88" i="1"/>
  <c r="I87" i="1"/>
  <c r="G87" i="1"/>
  <c r="F87" i="1"/>
  <c r="I86" i="1"/>
  <c r="G86" i="1"/>
  <c r="F86" i="1"/>
  <c r="I85" i="1"/>
  <c r="G85" i="1"/>
  <c r="F85" i="1"/>
  <c r="Q84" i="1"/>
  <c r="I84" i="1"/>
  <c r="H84" i="1"/>
  <c r="G84" i="1"/>
  <c r="F84" i="1"/>
  <c r="I83" i="1"/>
  <c r="D83" i="1"/>
  <c r="C83" i="1"/>
  <c r="A83" i="1"/>
  <c r="G81" i="1"/>
  <c r="E81" i="1"/>
  <c r="I80" i="1"/>
  <c r="F80" i="1"/>
  <c r="E80" i="1"/>
  <c r="C80" i="1"/>
  <c r="I79" i="1"/>
  <c r="F79" i="1"/>
  <c r="E79" i="1"/>
  <c r="C79" i="1"/>
  <c r="I78" i="1"/>
  <c r="F78" i="1"/>
  <c r="D78" i="1"/>
  <c r="C78" i="1"/>
  <c r="B78" i="1"/>
  <c r="A78" i="1"/>
  <c r="I77" i="1"/>
  <c r="H77" i="1"/>
  <c r="G77" i="1"/>
  <c r="F77" i="1"/>
  <c r="I76" i="1"/>
  <c r="H76" i="1"/>
  <c r="Q76" i="1" s="1"/>
  <c r="G76" i="1"/>
  <c r="F76" i="1"/>
  <c r="I75" i="1"/>
  <c r="H75" i="1"/>
  <c r="G75" i="1"/>
  <c r="F75" i="1"/>
  <c r="I74" i="1"/>
  <c r="H74" i="1"/>
  <c r="Q74" i="1" s="1"/>
  <c r="G74" i="1"/>
  <c r="F74" i="1"/>
  <c r="R73" i="1"/>
  <c r="I73" i="1"/>
  <c r="E73" i="1"/>
  <c r="D73" i="1"/>
  <c r="C73" i="1"/>
  <c r="A73" i="1"/>
  <c r="G71" i="1"/>
  <c r="E71" i="1"/>
  <c r="I70" i="1"/>
  <c r="F70" i="1"/>
  <c r="E70" i="1"/>
  <c r="C70" i="1"/>
  <c r="I69" i="1"/>
  <c r="F69" i="1"/>
  <c r="E69" i="1"/>
  <c r="C69" i="1"/>
  <c r="I68" i="1"/>
  <c r="H68" i="1"/>
  <c r="Q68" i="1" s="1"/>
  <c r="G68" i="1"/>
  <c r="F68" i="1"/>
  <c r="I67" i="1"/>
  <c r="G67" i="1"/>
  <c r="F67" i="1"/>
  <c r="I66" i="1"/>
  <c r="H66" i="1"/>
  <c r="Q66" i="1" s="1"/>
  <c r="G66" i="1"/>
  <c r="F66" i="1"/>
  <c r="T65" i="1"/>
  <c r="H70" i="1" s="1"/>
  <c r="R65" i="1"/>
  <c r="H69" i="1" s="1"/>
  <c r="I65" i="1"/>
  <c r="E65" i="1"/>
  <c r="D65" i="1"/>
  <c r="C65" i="1"/>
  <c r="B65" i="1"/>
  <c r="A65" i="1"/>
  <c r="G63" i="1"/>
  <c r="E63" i="1"/>
  <c r="I62" i="1"/>
  <c r="F62" i="1"/>
  <c r="E62" i="1"/>
  <c r="C62" i="1"/>
  <c r="I61" i="1"/>
  <c r="F61" i="1"/>
  <c r="E61" i="1"/>
  <c r="C61" i="1"/>
  <c r="I60" i="1"/>
  <c r="F60" i="1"/>
  <c r="D60" i="1"/>
  <c r="C60" i="1"/>
  <c r="B60" i="1"/>
  <c r="A60" i="1"/>
  <c r="I59" i="1"/>
  <c r="G59" i="1"/>
  <c r="F59" i="1"/>
  <c r="I58" i="1"/>
  <c r="G58" i="1"/>
  <c r="F58" i="1"/>
  <c r="I57" i="1"/>
  <c r="G57" i="1"/>
  <c r="F57" i="1"/>
  <c r="I56" i="1"/>
  <c r="G56" i="1"/>
  <c r="F56" i="1"/>
  <c r="I55" i="1"/>
  <c r="E55" i="1"/>
  <c r="D55" i="1"/>
  <c r="C55" i="1"/>
  <c r="A55" i="1"/>
  <c r="G53" i="1"/>
  <c r="E53" i="1"/>
  <c r="I52" i="1"/>
  <c r="F52" i="1"/>
  <c r="E52" i="1"/>
  <c r="C52" i="1"/>
  <c r="I51" i="1"/>
  <c r="F51" i="1"/>
  <c r="E51" i="1"/>
  <c r="C51" i="1"/>
  <c r="I50" i="1"/>
  <c r="H50" i="1"/>
  <c r="G50" i="1"/>
  <c r="F50" i="1"/>
  <c r="I49" i="1"/>
  <c r="H49" i="1"/>
  <c r="Q49" i="1" s="1"/>
  <c r="G49" i="1"/>
  <c r="F49" i="1"/>
  <c r="I48" i="1"/>
  <c r="G48" i="1"/>
  <c r="F48" i="1"/>
  <c r="I47" i="1"/>
  <c r="H47" i="1"/>
  <c r="Q47" i="1" s="1"/>
  <c r="G47" i="1"/>
  <c r="F47" i="1"/>
  <c r="T46" i="1"/>
  <c r="H52" i="1" s="1"/>
  <c r="R46" i="1"/>
  <c r="H51" i="1" s="1"/>
  <c r="I46" i="1"/>
  <c r="E46" i="1"/>
  <c r="D46" i="1"/>
  <c r="C46" i="1"/>
  <c r="A46" i="1"/>
  <c r="I44" i="1"/>
  <c r="G44" i="1"/>
  <c r="F44" i="1"/>
  <c r="I43" i="1"/>
  <c r="D43" i="1"/>
  <c r="C43" i="1"/>
  <c r="B43" i="1"/>
  <c r="A43" i="1"/>
  <c r="G41" i="1"/>
  <c r="E41" i="1"/>
  <c r="I40" i="1"/>
  <c r="F40" i="1"/>
  <c r="E40" i="1"/>
  <c r="C40" i="1"/>
  <c r="I39" i="1"/>
  <c r="F39" i="1"/>
  <c r="E39" i="1"/>
  <c r="C39" i="1"/>
  <c r="I38" i="1"/>
  <c r="H38" i="1"/>
  <c r="G38" i="1"/>
  <c r="F38" i="1"/>
  <c r="I37" i="1"/>
  <c r="H37" i="1"/>
  <c r="Q37" i="1" s="1"/>
  <c r="G37" i="1"/>
  <c r="F37" i="1"/>
  <c r="I36" i="1"/>
  <c r="G36" i="1"/>
  <c r="F36" i="1"/>
  <c r="I35" i="1"/>
  <c r="H35" i="1"/>
  <c r="Q35" i="1" s="1"/>
  <c r="G35" i="1"/>
  <c r="F35" i="1"/>
  <c r="R34" i="1"/>
  <c r="H39" i="1" s="1"/>
  <c r="I34" i="1"/>
  <c r="E34" i="1"/>
  <c r="D34" i="1"/>
  <c r="C34" i="1"/>
  <c r="A34" i="1"/>
  <c r="A33" i="1"/>
  <c r="A21" i="1"/>
  <c r="A13" i="1"/>
  <c r="G6" i="1"/>
  <c r="B6" i="1"/>
  <c r="T116" i="1" l="1"/>
  <c r="H118" i="1" s="1"/>
  <c r="R116" i="1"/>
  <c r="W41" i="2"/>
  <c r="S45" i="2"/>
  <c r="J132" i="1" s="1"/>
  <c r="R29" i="2"/>
  <c r="GK29" i="2" s="1"/>
  <c r="V29" i="2"/>
  <c r="R30" i="2"/>
  <c r="GK30" i="2" s="1"/>
  <c r="T83" i="1"/>
  <c r="H90" i="1" s="1"/>
  <c r="V36" i="2"/>
  <c r="W38" i="2"/>
  <c r="H105" i="1"/>
  <c r="T41" i="2"/>
  <c r="T48" i="2"/>
  <c r="AD32" i="2"/>
  <c r="AB32" i="2" s="1"/>
  <c r="GX34" i="2"/>
  <c r="T38" i="2"/>
  <c r="GX38" i="2"/>
  <c r="AD41" i="2"/>
  <c r="H113" i="1" s="1"/>
  <c r="U41" i="2"/>
  <c r="H119" i="1" s="1"/>
  <c r="AD42" i="2"/>
  <c r="CR42" i="2" s="1"/>
  <c r="Q42" i="2" s="1"/>
  <c r="W43" i="2"/>
  <c r="P45" i="2"/>
  <c r="P46" i="2"/>
  <c r="J143" i="1" s="1"/>
  <c r="S28" i="2"/>
  <c r="J35" i="1" s="1"/>
  <c r="H59" i="1"/>
  <c r="AD37" i="2"/>
  <c r="CR37" i="2" s="1"/>
  <c r="Q37" i="2" s="1"/>
  <c r="U37" i="2"/>
  <c r="GX41" i="2"/>
  <c r="V45" i="2"/>
  <c r="CD91" i="2"/>
  <c r="AU91" i="2" s="1"/>
  <c r="AB89" i="2"/>
  <c r="AO91" i="2"/>
  <c r="F95" i="2" s="1"/>
  <c r="CR46" i="2"/>
  <c r="Q46" i="2" s="1"/>
  <c r="J141" i="1" s="1"/>
  <c r="H141" i="1"/>
  <c r="AB46" i="2"/>
  <c r="W31" i="2"/>
  <c r="CT39" i="2"/>
  <c r="S39" i="2" s="1"/>
  <c r="J102" i="1" s="1"/>
  <c r="T101" i="1"/>
  <c r="H102" i="1"/>
  <c r="Q102" i="1" s="1"/>
  <c r="R101" i="1"/>
  <c r="CT48" i="2"/>
  <c r="S48" i="2" s="1"/>
  <c r="J150" i="1" s="1"/>
  <c r="T149" i="1"/>
  <c r="R83" i="1"/>
  <c r="E116" i="1"/>
  <c r="AD28" i="2"/>
  <c r="CS28" i="2"/>
  <c r="AD30" i="2"/>
  <c r="G54" i="1" s="1"/>
  <c r="O54" i="1" s="1"/>
  <c r="U30" i="2"/>
  <c r="H53" i="1" s="1"/>
  <c r="GX30" i="2"/>
  <c r="U31" i="2"/>
  <c r="H63" i="1" s="1"/>
  <c r="T31" i="2"/>
  <c r="S36" i="2"/>
  <c r="J84" i="1" s="1"/>
  <c r="T39" i="2"/>
  <c r="AD40" i="2"/>
  <c r="CR40" i="2" s="1"/>
  <c r="CS40" i="2"/>
  <c r="AB41" i="2"/>
  <c r="H115" i="1"/>
  <c r="S42" i="2"/>
  <c r="AD44" i="2"/>
  <c r="H126" i="1" s="1"/>
  <c r="CS44" i="2"/>
  <c r="AD50" i="2"/>
  <c r="H172" i="1"/>
  <c r="Q172" i="1" s="1"/>
  <c r="E169" i="1"/>
  <c r="T169" i="1"/>
  <c r="G26" i="2"/>
  <c r="A180" i="1"/>
  <c r="S31" i="2"/>
  <c r="J56" i="1" s="1"/>
  <c r="CQ40" i="2"/>
  <c r="AB40" i="2"/>
  <c r="V42" i="2"/>
  <c r="H116" i="1"/>
  <c r="W42" i="2"/>
  <c r="GX42" i="2"/>
  <c r="R55" i="1"/>
  <c r="H56" i="1"/>
  <c r="Q56" i="1" s="1"/>
  <c r="H58" i="1"/>
  <c r="Q58" i="1" s="1"/>
  <c r="H86" i="1"/>
  <c r="Q86" i="1" s="1"/>
  <c r="H117" i="1"/>
  <c r="R88" i="1"/>
  <c r="E88" i="1"/>
  <c r="GX37" i="2"/>
  <c r="P39" i="2"/>
  <c r="J105" i="1" s="1"/>
  <c r="CR41" i="2"/>
  <c r="Q41" i="2" s="1"/>
  <c r="J113" i="1" s="1"/>
  <c r="GX44" i="2"/>
  <c r="CT44" i="2"/>
  <c r="S44" i="2" s="1"/>
  <c r="T126" i="1"/>
  <c r="CS45" i="2"/>
  <c r="R45" i="2" s="1"/>
  <c r="AD45" i="2"/>
  <c r="AB45" i="2" s="1"/>
  <c r="H134" i="1"/>
  <c r="Q134" i="1" s="1"/>
  <c r="CS46" i="2"/>
  <c r="R46" i="2" s="1"/>
  <c r="T139" i="1"/>
  <c r="H146" i="1" s="1"/>
  <c r="R139" i="1"/>
  <c r="GK50" i="2"/>
  <c r="J162" i="1"/>
  <c r="CQ52" i="2"/>
  <c r="AB52" i="2"/>
  <c r="G22" i="2"/>
  <c r="A196" i="1"/>
  <c r="H88" i="1"/>
  <c r="E101" i="1"/>
  <c r="W28" i="2"/>
  <c r="V30" i="2"/>
  <c r="U36" i="2"/>
  <c r="H91" i="1" s="1"/>
  <c r="V37" i="2"/>
  <c r="H94" i="1"/>
  <c r="Q94" i="1" s="1"/>
  <c r="R93" i="1"/>
  <c r="H97" i="1" s="1"/>
  <c r="T34" i="1"/>
  <c r="H40" i="1" s="1"/>
  <c r="G42" i="1" s="1"/>
  <c r="O42" i="1" s="1"/>
  <c r="T55" i="1"/>
  <c r="T73" i="1"/>
  <c r="E83" i="1"/>
  <c r="H87" i="1"/>
  <c r="T93" i="1"/>
  <c r="H98" i="1" s="1"/>
  <c r="H104" i="1"/>
  <c r="Q104" i="1" s="1"/>
  <c r="H128" i="1"/>
  <c r="R126" i="1"/>
  <c r="H150" i="1"/>
  <c r="Q150" i="1" s="1"/>
  <c r="T159" i="1"/>
  <c r="R169" i="1"/>
  <c r="J172" i="1"/>
  <c r="CL26" i="2"/>
  <c r="BY55" i="2"/>
  <c r="BY26" i="2" s="1"/>
  <c r="AB34" i="2"/>
  <c r="CS35" i="2"/>
  <c r="AD35" i="2"/>
  <c r="CR35" i="2" s="1"/>
  <c r="W36" i="2"/>
  <c r="CT38" i="2"/>
  <c r="S38" i="2" s="1"/>
  <c r="CS39" i="2"/>
  <c r="AD39" i="2"/>
  <c r="H103" i="1" s="1"/>
  <c r="R42" i="2"/>
  <c r="GK42" i="2" s="1"/>
  <c r="H122" i="1"/>
  <c r="Q122" i="1" s="1"/>
  <c r="R121" i="1"/>
  <c r="H127" i="1" s="1"/>
  <c r="U47" i="2"/>
  <c r="R144" i="1"/>
  <c r="W47" i="2"/>
  <c r="H163" i="1"/>
  <c r="E159" i="1"/>
  <c r="CR52" i="2"/>
  <c r="H171" i="1"/>
  <c r="V52" i="2"/>
  <c r="T28" i="2"/>
  <c r="W30" i="2"/>
  <c r="GX31" i="2"/>
  <c r="R33" i="2"/>
  <c r="V33" i="2"/>
  <c r="GX36" i="2"/>
  <c r="S37" i="2"/>
  <c r="CZ37" i="2" s="1"/>
  <c r="Y37" i="2" s="1"/>
  <c r="U88" i="1" s="1"/>
  <c r="W37" i="2"/>
  <c r="R41" i="2"/>
  <c r="CY41" i="2" s="1"/>
  <c r="X41" i="2" s="1"/>
  <c r="S111" i="1" s="1"/>
  <c r="AD43" i="2"/>
  <c r="U43" i="2"/>
  <c r="H129" i="1" s="1"/>
  <c r="S46" i="2"/>
  <c r="J140" i="1" s="1"/>
  <c r="W46" i="2"/>
  <c r="AD48" i="2"/>
  <c r="H151" i="1" s="1"/>
  <c r="BZ91" i="2"/>
  <c r="AQ91" i="2" s="1"/>
  <c r="F101" i="2" s="1"/>
  <c r="U28" i="2"/>
  <c r="H41" i="1" s="1"/>
  <c r="T29" i="2"/>
  <c r="R31" i="2"/>
  <c r="V31" i="2"/>
  <c r="GX33" i="2"/>
  <c r="T36" i="2"/>
  <c r="R38" i="2"/>
  <c r="V38" i="2"/>
  <c r="U39" i="2"/>
  <c r="H109" i="1" s="1"/>
  <c r="P42" i="2"/>
  <c r="T42" i="2"/>
  <c r="R43" i="2"/>
  <c r="CY43" i="2" s="1"/>
  <c r="X43" i="2" s="1"/>
  <c r="S121" i="1" s="1"/>
  <c r="V43" i="2"/>
  <c r="GX43" i="2"/>
  <c r="U45" i="2"/>
  <c r="H137" i="1" s="1"/>
  <c r="GX45" i="2"/>
  <c r="V47" i="2"/>
  <c r="GX47" i="2"/>
  <c r="S52" i="2"/>
  <c r="J170" i="1" s="1"/>
  <c r="W52" i="2"/>
  <c r="CC91" i="2"/>
  <c r="CC86" i="2" s="1"/>
  <c r="I45" i="1"/>
  <c r="P45" i="1" s="1"/>
  <c r="P29" i="2"/>
  <c r="GX29" i="2"/>
  <c r="J49" i="1"/>
  <c r="GK31" i="2"/>
  <c r="J58" i="1"/>
  <c r="P28" i="2"/>
  <c r="S30" i="2"/>
  <c r="P31" i="2"/>
  <c r="GK33" i="2"/>
  <c r="J68" i="1"/>
  <c r="G138" i="1"/>
  <c r="O138" i="1" s="1"/>
  <c r="CX6" i="4"/>
  <c r="H44" i="1"/>
  <c r="T43" i="1"/>
  <c r="E43" i="1"/>
  <c r="G45" i="1"/>
  <c r="O45" i="1" s="1"/>
  <c r="R43" i="1"/>
  <c r="W29" i="2"/>
  <c r="S29" i="2"/>
  <c r="Q29" i="2"/>
  <c r="J44" i="1" s="1"/>
  <c r="U29" i="2"/>
  <c r="CY31" i="2"/>
  <c r="X31" i="2" s="1"/>
  <c r="S55" i="1" s="1"/>
  <c r="AB29" i="2"/>
  <c r="AD31" i="2"/>
  <c r="AD33" i="2"/>
  <c r="CS34" i="2"/>
  <c r="R34" i="2" s="1"/>
  <c r="T37" i="2"/>
  <c r="P37" i="2"/>
  <c r="CP37" i="2" s="1"/>
  <c r="O37" i="2" s="1"/>
  <c r="CZ43" i="2"/>
  <c r="Y43" i="2" s="1"/>
  <c r="U121" i="1" s="1"/>
  <c r="R44" i="2"/>
  <c r="GK44" i="2" s="1"/>
  <c r="CX5" i="4"/>
  <c r="CX1" i="4"/>
  <c r="CX4" i="4"/>
  <c r="CX3" i="4"/>
  <c r="CX2" i="4"/>
  <c r="R28" i="2"/>
  <c r="V28" i="2"/>
  <c r="GX28" i="2"/>
  <c r="CX29" i="4"/>
  <c r="CX28" i="4"/>
  <c r="CX31" i="4"/>
  <c r="CX27" i="4"/>
  <c r="CX30" i="4"/>
  <c r="I88" i="2"/>
  <c r="T33" i="2"/>
  <c r="CX37" i="4"/>
  <c r="CX33" i="4"/>
  <c r="CX36" i="4"/>
  <c r="CX32" i="4"/>
  <c r="CX39" i="4"/>
  <c r="CX35" i="4"/>
  <c r="CX38" i="4"/>
  <c r="CX34" i="4"/>
  <c r="CT34" i="2"/>
  <c r="CQ43" i="2"/>
  <c r="U44" i="2"/>
  <c r="CC55" i="2"/>
  <c r="CX25" i="4"/>
  <c r="CX21" i="4"/>
  <c r="CX24" i="4"/>
  <c r="CX20" i="4"/>
  <c r="CX23" i="4"/>
  <c r="CX19" i="4"/>
  <c r="CX26" i="4"/>
  <c r="CX22" i="4"/>
  <c r="CX18" i="4"/>
  <c r="CR32" i="2"/>
  <c r="P33" i="2"/>
  <c r="U33" i="2"/>
  <c r="H71" i="1" s="1"/>
  <c r="S33" i="2"/>
  <c r="W33" i="2"/>
  <c r="U34" i="2"/>
  <c r="H81" i="1" s="1"/>
  <c r="T34" i="2"/>
  <c r="CQ36" i="2"/>
  <c r="CQ38" i="2"/>
  <c r="CR39" i="2"/>
  <c r="V44" i="2"/>
  <c r="CZ45" i="2"/>
  <c r="Y45" i="2" s="1"/>
  <c r="U131" i="1" s="1"/>
  <c r="J136" i="1" s="1"/>
  <c r="CP46" i="2"/>
  <c r="O46" i="2" s="1"/>
  <c r="AD47" i="2"/>
  <c r="CS47" i="2"/>
  <c r="R47" i="2" s="1"/>
  <c r="GK47" i="2" s="1"/>
  <c r="BZ55" i="2"/>
  <c r="CD55" i="2"/>
  <c r="CX17" i="4"/>
  <c r="CX13" i="4"/>
  <c r="CX9" i="4"/>
  <c r="CX16" i="4"/>
  <c r="CX12" i="4"/>
  <c r="CX8" i="4"/>
  <c r="CX15" i="4"/>
  <c r="CX11" i="4"/>
  <c r="CX7" i="4"/>
  <c r="CX14" i="4"/>
  <c r="CX10" i="4"/>
  <c r="I32" i="2"/>
  <c r="S32" i="2" s="1"/>
  <c r="Q34" i="2"/>
  <c r="J75" i="1" s="1"/>
  <c r="V34" i="2"/>
  <c r="P34" i="2"/>
  <c r="I35" i="2"/>
  <c r="P35" i="2" s="1"/>
  <c r="CS36" i="2"/>
  <c r="R36" i="2" s="1"/>
  <c r="AD36" i="2"/>
  <c r="CY37" i="2"/>
  <c r="X37" i="2" s="1"/>
  <c r="S88" i="1" s="1"/>
  <c r="CY42" i="2"/>
  <c r="X42" i="2" s="1"/>
  <c r="S116" i="1" s="1"/>
  <c r="W44" i="2"/>
  <c r="CZ48" i="2"/>
  <c r="Y48" i="2" s="1"/>
  <c r="U149" i="1" s="1"/>
  <c r="CY48" i="2"/>
  <c r="X48" i="2" s="1"/>
  <c r="S149" i="1" s="1"/>
  <c r="CX113" i="4"/>
  <c r="CX109" i="4"/>
  <c r="CX105" i="4"/>
  <c r="CX116" i="4"/>
  <c r="CX112" i="4"/>
  <c r="CX108" i="4"/>
  <c r="CX115" i="4"/>
  <c r="CX111" i="4"/>
  <c r="CX107" i="4"/>
  <c r="CX114" i="4"/>
  <c r="CX110" i="4"/>
  <c r="CX106" i="4"/>
  <c r="I51" i="2"/>
  <c r="U50" i="2"/>
  <c r="H167" i="1" s="1"/>
  <c r="V50" i="2"/>
  <c r="U51" i="2"/>
  <c r="CY52" i="2"/>
  <c r="X52" i="2" s="1"/>
  <c r="S169" i="1" s="1"/>
  <c r="CZ52" i="2"/>
  <c r="Y52" i="2" s="1"/>
  <c r="U169" i="1" s="1"/>
  <c r="AD38" i="2"/>
  <c r="AB38" i="2" s="1"/>
  <c r="AB42" i="2"/>
  <c r="U48" i="2"/>
  <c r="H157" i="1" s="1"/>
  <c r="T53" i="2"/>
  <c r="CX61" i="4"/>
  <c r="CX57" i="4"/>
  <c r="CX60" i="4"/>
  <c r="CX56" i="4"/>
  <c r="CX59" i="4"/>
  <c r="CX55" i="4"/>
  <c r="CX58" i="4"/>
  <c r="CX54" i="4"/>
  <c r="R39" i="2"/>
  <c r="V39" i="2"/>
  <c r="GX39" i="2"/>
  <c r="CS51" i="2"/>
  <c r="AD51" i="2"/>
  <c r="CR51" i="2" s="1"/>
  <c r="Q51" i="2" s="1"/>
  <c r="V51" i="2"/>
  <c r="CG55" i="2"/>
  <c r="AO55" i="2"/>
  <c r="P88" i="2"/>
  <c r="CX45" i="4"/>
  <c r="CX41" i="4"/>
  <c r="CX48" i="4"/>
  <c r="CX44" i="4"/>
  <c r="CX40" i="4"/>
  <c r="CX47" i="4"/>
  <c r="CX43" i="4"/>
  <c r="CX46" i="4"/>
  <c r="CX42" i="4"/>
  <c r="CX53" i="4"/>
  <c r="CX49" i="4"/>
  <c r="CX52" i="4"/>
  <c r="CX51" i="4"/>
  <c r="CX50" i="4"/>
  <c r="I40" i="2"/>
  <c r="W40" i="2" s="1"/>
  <c r="CQ41" i="2"/>
  <c r="U42" i="2"/>
  <c r="P44" i="2"/>
  <c r="T44" i="2"/>
  <c r="CX101" i="4"/>
  <c r="CX97" i="4"/>
  <c r="CX104" i="4"/>
  <c r="CX100" i="4"/>
  <c r="CX96" i="4"/>
  <c r="CX103" i="4"/>
  <c r="CX99" i="4"/>
  <c r="CX102" i="4"/>
  <c r="CX98" i="4"/>
  <c r="I49" i="2"/>
  <c r="V49" i="2" s="1"/>
  <c r="GX48" i="2"/>
  <c r="P50" i="2"/>
  <c r="T50" i="2"/>
  <c r="GX50" i="2"/>
  <c r="T88" i="2"/>
  <c r="S88" i="2"/>
  <c r="W88" i="2"/>
  <c r="CI91" i="2"/>
  <c r="AP91" i="2"/>
  <c r="BY86" i="2"/>
  <c r="GX88" i="2"/>
  <c r="CX93" i="4"/>
  <c r="CX89" i="4"/>
  <c r="CX92" i="4"/>
  <c r="CX88" i="4"/>
  <c r="CX95" i="4"/>
  <c r="CX91" i="4"/>
  <c r="CX94" i="4"/>
  <c r="CX90" i="4"/>
  <c r="U46" i="2"/>
  <c r="H147" i="1" s="1"/>
  <c r="T47" i="2"/>
  <c r="S51" i="2"/>
  <c r="W51" i="2"/>
  <c r="CX125" i="4"/>
  <c r="CX121" i="4"/>
  <c r="CX117" i="4"/>
  <c r="CX128" i="4"/>
  <c r="CX124" i="4"/>
  <c r="CX120" i="4"/>
  <c r="CX127" i="4"/>
  <c r="CX123" i="4"/>
  <c r="CX119" i="4"/>
  <c r="CX126" i="4"/>
  <c r="CX122" i="4"/>
  <c r="CX118" i="4"/>
  <c r="I53" i="2"/>
  <c r="P52" i="2"/>
  <c r="T52" i="2"/>
  <c r="GX52" i="2"/>
  <c r="BC120" i="2"/>
  <c r="F71" i="2"/>
  <c r="AQ86" i="2"/>
  <c r="AB88" i="2"/>
  <c r="CR88" i="2"/>
  <c r="Q88" i="2" s="1"/>
  <c r="U88" i="2"/>
  <c r="AT91" i="2"/>
  <c r="CX69" i="4"/>
  <c r="CX65" i="4"/>
  <c r="CX68" i="4"/>
  <c r="CX64" i="4"/>
  <c r="CX67" i="4"/>
  <c r="CX63" i="4"/>
  <c r="CX70" i="4"/>
  <c r="CX66" i="4"/>
  <c r="CX62" i="4"/>
  <c r="V41" i="2"/>
  <c r="CX81" i="4"/>
  <c r="CX77" i="4"/>
  <c r="CX73" i="4"/>
  <c r="CX80" i="4"/>
  <c r="CX76" i="4"/>
  <c r="CX72" i="4"/>
  <c r="CX79" i="4"/>
  <c r="CX75" i="4"/>
  <c r="CX71" i="4"/>
  <c r="CX82" i="4"/>
  <c r="CX78" i="4"/>
  <c r="CX74" i="4"/>
  <c r="CX85" i="4"/>
  <c r="CX84" i="4"/>
  <c r="CX87" i="4"/>
  <c r="CX83" i="4"/>
  <c r="CX86" i="4"/>
  <c r="P47" i="2"/>
  <c r="CS49" i="2"/>
  <c r="AD49" i="2"/>
  <c r="CR49" i="2" s="1"/>
  <c r="Q49" i="2" s="1"/>
  <c r="S50" i="2"/>
  <c r="W50" i="2"/>
  <c r="T51" i="2"/>
  <c r="GX51" i="2"/>
  <c r="Q52" i="2"/>
  <c r="J171" i="1" s="1"/>
  <c r="U52" i="2"/>
  <c r="H177" i="1" s="1"/>
  <c r="CS53" i="2"/>
  <c r="R53" i="2" s="1"/>
  <c r="GK53" i="2" s="1"/>
  <c r="AD53" i="2"/>
  <c r="CR53" i="2" s="1"/>
  <c r="V53" i="2"/>
  <c r="R88" i="2"/>
  <c r="V88" i="2"/>
  <c r="CQ49" i="2"/>
  <c r="CQ51" i="2"/>
  <c r="P51" i="2" s="1"/>
  <c r="CP51" i="2" s="1"/>
  <c r="O51" i="2" s="1"/>
  <c r="CQ53" i="2"/>
  <c r="BB86" i="2"/>
  <c r="BZ86" i="2"/>
  <c r="CD86" i="2"/>
  <c r="CG91" i="2"/>
  <c r="BB120" i="2"/>
  <c r="F68" i="2"/>
  <c r="AO86" i="2"/>
  <c r="CZ42" i="2" l="1"/>
  <c r="Y42" i="2" s="1"/>
  <c r="U116" i="1" s="1"/>
  <c r="CZ36" i="2"/>
  <c r="Y36" i="2" s="1"/>
  <c r="U83" i="1" s="1"/>
  <c r="CZ31" i="2"/>
  <c r="Y31" i="2" s="1"/>
  <c r="U55" i="1" s="1"/>
  <c r="H89" i="1"/>
  <c r="G92" i="1" s="1"/>
  <c r="O92" i="1" s="1"/>
  <c r="F110" i="2"/>
  <c r="AU86" i="2"/>
  <c r="AP55" i="2"/>
  <c r="P53" i="2"/>
  <c r="CI55" i="2"/>
  <c r="CY45" i="2"/>
  <c r="X45" i="2" s="1"/>
  <c r="S131" i="1" s="1"/>
  <c r="J135" i="1" s="1"/>
  <c r="AB39" i="2"/>
  <c r="AB35" i="2"/>
  <c r="AB37" i="2"/>
  <c r="CZ38" i="2"/>
  <c r="Y38" i="2" s="1"/>
  <c r="U93" i="1" s="1"/>
  <c r="J98" i="1" s="1"/>
  <c r="CZ46" i="2"/>
  <c r="Y46" i="2" s="1"/>
  <c r="U139" i="1" s="1"/>
  <c r="U32" i="2"/>
  <c r="CP42" i="2"/>
  <c r="O42" i="2" s="1"/>
  <c r="CR30" i="2"/>
  <c r="Q30" i="2" s="1"/>
  <c r="J94" i="1"/>
  <c r="GK41" i="2"/>
  <c r="J114" i="1"/>
  <c r="CZ41" i="2"/>
  <c r="Y41" i="2" s="1"/>
  <c r="U111" i="1" s="1"/>
  <c r="J118" i="1" s="1"/>
  <c r="S49" i="2"/>
  <c r="CR50" i="2"/>
  <c r="Q50" i="2" s="1"/>
  <c r="J161" i="1" s="1"/>
  <c r="H161" i="1"/>
  <c r="T49" i="2"/>
  <c r="AB48" i="2"/>
  <c r="J117" i="1"/>
  <c r="CY38" i="2"/>
  <c r="X38" i="2" s="1"/>
  <c r="S93" i="1" s="1"/>
  <c r="J97" i="1" s="1"/>
  <c r="GK43" i="2"/>
  <c r="J124" i="1"/>
  <c r="H145" i="1"/>
  <c r="CR45" i="2"/>
  <c r="Q45" i="2" s="1"/>
  <c r="H133" i="1"/>
  <c r="G120" i="1"/>
  <c r="O120" i="1" s="1"/>
  <c r="CR44" i="2"/>
  <c r="Q44" i="2" s="1"/>
  <c r="CP44" i="2" s="1"/>
  <c r="O44" i="2" s="1"/>
  <c r="AB44" i="2"/>
  <c r="CR28" i="2"/>
  <c r="Q28" i="2" s="1"/>
  <c r="J36" i="1" s="1"/>
  <c r="AB28" i="2"/>
  <c r="H36" i="1"/>
  <c r="AB49" i="2"/>
  <c r="V32" i="2"/>
  <c r="CR43" i="2"/>
  <c r="Q43" i="2" s="1"/>
  <c r="J123" i="1" s="1"/>
  <c r="H123" i="1"/>
  <c r="AB30" i="2"/>
  <c r="H48" i="1"/>
  <c r="R49" i="2"/>
  <c r="GK49" i="2" s="1"/>
  <c r="P49" i="2"/>
  <c r="CP49" i="2" s="1"/>
  <c r="O49" i="2" s="1"/>
  <c r="Q53" i="2"/>
  <c r="R51" i="2"/>
  <c r="GK51" i="2" s="1"/>
  <c r="CR48" i="2"/>
  <c r="J90" i="1"/>
  <c r="AB43" i="2"/>
  <c r="J96" i="1"/>
  <c r="GK38" i="2"/>
  <c r="AB50" i="2"/>
  <c r="G130" i="1"/>
  <c r="O130" i="1" s="1"/>
  <c r="GK45" i="2"/>
  <c r="J134" i="1"/>
  <c r="GM42" i="2"/>
  <c r="GN42" i="2"/>
  <c r="J116" i="1"/>
  <c r="J186" i="1"/>
  <c r="CZ49" i="2"/>
  <c r="Y49" i="2" s="1"/>
  <c r="U154" i="1" s="1"/>
  <c r="CR47" i="2"/>
  <c r="Q47" i="2" s="1"/>
  <c r="AB47" i="2"/>
  <c r="H144" i="1"/>
  <c r="P36" i="2"/>
  <c r="GK88" i="2"/>
  <c r="BB149" i="2"/>
  <c r="F133" i="2"/>
  <c r="BB22" i="2"/>
  <c r="CY50" i="2"/>
  <c r="X50" i="2" s="1"/>
  <c r="S159" i="1" s="1"/>
  <c r="CZ50" i="2"/>
  <c r="Y50" i="2" s="1"/>
  <c r="U159" i="1" s="1"/>
  <c r="J160" i="1"/>
  <c r="CP47" i="2"/>
  <c r="O47" i="2" s="1"/>
  <c r="H187" i="1"/>
  <c r="CY51" i="2"/>
  <c r="X51" i="2" s="1"/>
  <c r="S164" i="1" s="1"/>
  <c r="CZ51" i="2"/>
  <c r="Y51" i="2" s="1"/>
  <c r="U164" i="1" s="1"/>
  <c r="GK46" i="2"/>
  <c r="J142" i="1"/>
  <c r="CZ88" i="2"/>
  <c r="Y88" i="2" s="1"/>
  <c r="CY88" i="2"/>
  <c r="X88" i="2" s="1"/>
  <c r="J185" i="1"/>
  <c r="U49" i="2"/>
  <c r="R154" i="1"/>
  <c r="H155" i="1" s="1"/>
  <c r="E154" i="1"/>
  <c r="T154" i="1"/>
  <c r="H156" i="1" s="1"/>
  <c r="H154" i="1"/>
  <c r="AX55" i="2"/>
  <c r="CG26" i="2"/>
  <c r="W49" i="2"/>
  <c r="GK39" i="2"/>
  <c r="CY39" i="2"/>
  <c r="X39" i="2" s="1"/>
  <c r="S101" i="1" s="1"/>
  <c r="J104" i="1"/>
  <c r="CR36" i="2"/>
  <c r="Q36" i="2" s="1"/>
  <c r="J85" i="1" s="1"/>
  <c r="H85" i="1"/>
  <c r="CZ33" i="2"/>
  <c r="Y33" i="2" s="1"/>
  <c r="U65" i="1" s="1"/>
  <c r="J70" i="1" s="1"/>
  <c r="J66" i="1"/>
  <c r="CY33" i="2"/>
  <c r="X33" i="2" s="1"/>
  <c r="S65" i="1" s="1"/>
  <c r="J69" i="1" s="1"/>
  <c r="Q32" i="2"/>
  <c r="CY46" i="2"/>
  <c r="X46" i="2" s="1"/>
  <c r="S139" i="1" s="1"/>
  <c r="P43" i="2"/>
  <c r="S34" i="2"/>
  <c r="GK28" i="2"/>
  <c r="J37" i="1"/>
  <c r="GM37" i="2"/>
  <c r="J88" i="1"/>
  <c r="GN37" i="2"/>
  <c r="CZ28" i="2"/>
  <c r="Y28" i="2" s="1"/>
  <c r="F100" i="2"/>
  <c r="AP86" i="2"/>
  <c r="J156" i="1"/>
  <c r="AZ55" i="2"/>
  <c r="CI26" i="2"/>
  <c r="GK34" i="2"/>
  <c r="J76" i="1"/>
  <c r="CP52" i="2"/>
  <c r="O52" i="2" s="1"/>
  <c r="J173" i="1"/>
  <c r="J163" i="1"/>
  <c r="CR38" i="2"/>
  <c r="Q38" i="2" s="1"/>
  <c r="J95" i="1" s="1"/>
  <c r="G100" i="1"/>
  <c r="O100" i="1" s="1"/>
  <c r="H95" i="1"/>
  <c r="GK36" i="2"/>
  <c r="J86" i="1"/>
  <c r="Q39" i="2"/>
  <c r="J164" i="1"/>
  <c r="AB53" i="2"/>
  <c r="U53" i="2"/>
  <c r="T174" i="1"/>
  <c r="H176" i="1" s="1"/>
  <c r="H174" i="1"/>
  <c r="R174" i="1"/>
  <c r="H175" i="1" s="1"/>
  <c r="E174" i="1"/>
  <c r="AZ91" i="2"/>
  <c r="CI86" i="2"/>
  <c r="GX53" i="2"/>
  <c r="P41" i="2"/>
  <c r="CP88" i="2"/>
  <c r="O88" i="2" s="1"/>
  <c r="AB51" i="2"/>
  <c r="Q48" i="2"/>
  <c r="W53" i="2"/>
  <c r="H164" i="1"/>
  <c r="R164" i="1"/>
  <c r="H165" i="1" s="1"/>
  <c r="E164" i="1"/>
  <c r="T164" i="1"/>
  <c r="H166" i="1" s="1"/>
  <c r="T35" i="2"/>
  <c r="T78" i="1"/>
  <c r="H80" i="1" s="1"/>
  <c r="R35" i="2"/>
  <c r="GK35" i="2" s="1"/>
  <c r="H78" i="1"/>
  <c r="R78" i="1"/>
  <c r="H79" i="1" s="1"/>
  <c r="V35" i="2"/>
  <c r="Q35" i="2"/>
  <c r="GX35" i="2"/>
  <c r="E78" i="1"/>
  <c r="E60" i="1"/>
  <c r="T60" i="1"/>
  <c r="H62" i="1" s="1"/>
  <c r="T32" i="2"/>
  <c r="P32" i="2"/>
  <c r="H60" i="1"/>
  <c r="R60" i="1"/>
  <c r="H61" i="1" s="1"/>
  <c r="AU55" i="2"/>
  <c r="CD26" i="2"/>
  <c r="GM46" i="2"/>
  <c r="GN46" i="2"/>
  <c r="AB36" i="2"/>
  <c r="CX129" i="4"/>
  <c r="CX130" i="4"/>
  <c r="I89" i="2"/>
  <c r="H186" i="1"/>
  <c r="R184" i="1"/>
  <c r="I188" i="1"/>
  <c r="P188" i="1" s="1"/>
  <c r="G188" i="1"/>
  <c r="O188" i="1" s="1"/>
  <c r="H185" i="1"/>
  <c r="Q185" i="1" s="1"/>
  <c r="H27" i="1" s="1"/>
  <c r="T184" i="1"/>
  <c r="E184" i="1"/>
  <c r="AP120" i="2"/>
  <c r="F64" i="2"/>
  <c r="AP26" i="2"/>
  <c r="CZ47" i="2"/>
  <c r="Y47" i="2" s="1"/>
  <c r="U144" i="1" s="1"/>
  <c r="J146" i="1" s="1"/>
  <c r="W35" i="2"/>
  <c r="AB33" i="2"/>
  <c r="G72" i="1"/>
  <c r="O72" i="1" s="1"/>
  <c r="H67" i="1"/>
  <c r="CR33" i="2"/>
  <c r="J59" i="1"/>
  <c r="R32" i="2"/>
  <c r="GK32" i="2" s="1"/>
  <c r="CY28" i="2"/>
  <c r="X28" i="2" s="1"/>
  <c r="AX91" i="2"/>
  <c r="CG86" i="2"/>
  <c r="F136" i="2"/>
  <c r="BC149" i="2"/>
  <c r="BC22" i="2"/>
  <c r="F109" i="2"/>
  <c r="AT86" i="2"/>
  <c r="R40" i="2"/>
  <c r="GK40" i="2" s="1"/>
  <c r="V40" i="2"/>
  <c r="Q40" i="2"/>
  <c r="U40" i="2"/>
  <c r="P40" i="2"/>
  <c r="T106" i="1"/>
  <c r="H108" i="1" s="1"/>
  <c r="H106" i="1"/>
  <c r="G110" i="1" s="1"/>
  <c r="O110" i="1" s="1"/>
  <c r="R106" i="1"/>
  <c r="H107" i="1" s="1"/>
  <c r="GX40" i="2"/>
  <c r="S40" i="2"/>
  <c r="E106" i="1"/>
  <c r="AO120" i="2"/>
  <c r="F59" i="2"/>
  <c r="AO26" i="2"/>
  <c r="GX49" i="2"/>
  <c r="CJ55" i="2" s="1"/>
  <c r="S53" i="2"/>
  <c r="CZ44" i="2"/>
  <c r="Y44" i="2" s="1"/>
  <c r="U126" i="1" s="1"/>
  <c r="J128" i="1" s="1"/>
  <c r="CY44" i="2"/>
  <c r="X44" i="2" s="1"/>
  <c r="S126" i="1" s="1"/>
  <c r="J127" i="1" s="1"/>
  <c r="J77" i="1"/>
  <c r="CP34" i="2"/>
  <c r="O34" i="2" s="1"/>
  <c r="AQ55" i="2"/>
  <c r="BZ26" i="2"/>
  <c r="P38" i="2"/>
  <c r="CP38" i="2" s="1"/>
  <c r="O38" i="2" s="1"/>
  <c r="I100" i="1"/>
  <c r="P100" i="1" s="1"/>
  <c r="CY36" i="2"/>
  <c r="X36" i="2" s="1"/>
  <c r="S83" i="1" s="1"/>
  <c r="J89" i="1" s="1"/>
  <c r="GX32" i="2"/>
  <c r="AT55" i="2"/>
  <c r="CC26" i="2"/>
  <c r="T40" i="2"/>
  <c r="CY47" i="2"/>
  <c r="X47" i="2" s="1"/>
  <c r="S144" i="1" s="1"/>
  <c r="CZ39" i="2"/>
  <c r="Y39" i="2" s="1"/>
  <c r="U101" i="1" s="1"/>
  <c r="S35" i="2"/>
  <c r="AB31" i="2"/>
  <c r="CR31" i="2"/>
  <c r="H57" i="1"/>
  <c r="CZ29" i="2"/>
  <c r="Y29" i="2" s="1"/>
  <c r="U43" i="1" s="1"/>
  <c r="CY29" i="2"/>
  <c r="X29" i="2" s="1"/>
  <c r="S43" i="1" s="1"/>
  <c r="U35" i="2"/>
  <c r="W32" i="2"/>
  <c r="AJ55" i="2" s="1"/>
  <c r="J47" i="1"/>
  <c r="CZ30" i="2"/>
  <c r="Y30" i="2" s="1"/>
  <c r="U46" i="1" s="1"/>
  <c r="J52" i="1" s="1"/>
  <c r="CY30" i="2"/>
  <c r="X30" i="2" s="1"/>
  <c r="S46" i="1" s="1"/>
  <c r="J51" i="1" s="1"/>
  <c r="I54" i="1" s="1"/>
  <c r="P54" i="1" s="1"/>
  <c r="J38" i="1"/>
  <c r="CP29" i="2"/>
  <c r="O29" i="2" s="1"/>
  <c r="J126" i="1" l="1"/>
  <c r="GN44" i="2"/>
  <c r="CP50" i="2"/>
  <c r="O50" i="2" s="1"/>
  <c r="AH55" i="2"/>
  <c r="U55" i="2" s="1"/>
  <c r="CP32" i="2"/>
  <c r="O32" i="2" s="1"/>
  <c r="AI55" i="2"/>
  <c r="CP53" i="2"/>
  <c r="O53" i="2" s="1"/>
  <c r="G148" i="1"/>
  <c r="O148" i="1" s="1"/>
  <c r="CY49" i="2"/>
  <c r="X49" i="2" s="1"/>
  <c r="S154" i="1" s="1"/>
  <c r="J155" i="1" s="1"/>
  <c r="AF55" i="2"/>
  <c r="G82" i="1"/>
  <c r="O82" i="1" s="1"/>
  <c r="J165" i="1"/>
  <c r="CZ32" i="2"/>
  <c r="Y32" i="2" s="1"/>
  <c r="U60" i="1" s="1"/>
  <c r="J62" i="1" s="1"/>
  <c r="J133" i="1"/>
  <c r="CP45" i="2"/>
  <c r="O45" i="2" s="1"/>
  <c r="I138" i="1"/>
  <c r="P138" i="1" s="1"/>
  <c r="J48" i="1"/>
  <c r="CP30" i="2"/>
  <c r="O30" i="2" s="1"/>
  <c r="CP28" i="2"/>
  <c r="O28" i="2" s="1"/>
  <c r="GM28" i="2" s="1"/>
  <c r="G64" i="1"/>
  <c r="O64" i="1" s="1"/>
  <c r="CP35" i="2"/>
  <c r="O35" i="2" s="1"/>
  <c r="J78" i="1" s="1"/>
  <c r="I120" i="1"/>
  <c r="P120" i="1" s="1"/>
  <c r="G178" i="1"/>
  <c r="O178" i="1" s="1"/>
  <c r="W55" i="2"/>
  <c r="AJ26" i="2"/>
  <c r="I130" i="1"/>
  <c r="P130" i="1" s="1"/>
  <c r="BA55" i="2"/>
  <c r="CJ26" i="2"/>
  <c r="AT120" i="2"/>
  <c r="F73" i="2"/>
  <c r="AT26" i="2"/>
  <c r="GN28" i="2"/>
  <c r="Q31" i="2"/>
  <c r="CY53" i="2"/>
  <c r="X53" i="2" s="1"/>
  <c r="S174" i="1" s="1"/>
  <c r="J175" i="1" s="1"/>
  <c r="CZ53" i="2"/>
  <c r="Y53" i="2" s="1"/>
  <c r="U174" i="1" s="1"/>
  <c r="J176" i="1" s="1"/>
  <c r="AO149" i="2"/>
  <c r="F124" i="2"/>
  <c r="AO22" i="2"/>
  <c r="AU120" i="2"/>
  <c r="F74" i="2"/>
  <c r="AU26" i="2"/>
  <c r="AG55" i="2"/>
  <c r="GN88" i="2"/>
  <c r="GM88" i="2"/>
  <c r="GN51" i="2"/>
  <c r="GM52" i="2"/>
  <c r="GN52" i="2"/>
  <c r="AE55" i="2"/>
  <c r="S184" i="1"/>
  <c r="CY32" i="2"/>
  <c r="X32" i="2" s="1"/>
  <c r="S60" i="1" s="1"/>
  <c r="J61" i="1" s="1"/>
  <c r="GN38" i="2"/>
  <c r="GM38" i="2"/>
  <c r="S34" i="1"/>
  <c r="J39" i="1" s="1"/>
  <c r="J174" i="1"/>
  <c r="U34" i="1"/>
  <c r="J40" i="1" s="1"/>
  <c r="CP43" i="2"/>
  <c r="O43" i="2" s="1"/>
  <c r="J125" i="1"/>
  <c r="U184" i="1"/>
  <c r="GN47" i="2"/>
  <c r="GM47" i="2"/>
  <c r="J144" i="1"/>
  <c r="GM29" i="2"/>
  <c r="GN29" i="2"/>
  <c r="AC55" i="2"/>
  <c r="V55" i="2"/>
  <c r="AI26" i="2"/>
  <c r="CZ40" i="2"/>
  <c r="Y40" i="2" s="1"/>
  <c r="U106" i="1" s="1"/>
  <c r="J108" i="1" s="1"/>
  <c r="CY40" i="2"/>
  <c r="X40" i="2" s="1"/>
  <c r="S106" i="1" s="1"/>
  <c r="J107" i="1" s="1"/>
  <c r="GM44" i="2"/>
  <c r="F98" i="2"/>
  <c r="AX86" i="2"/>
  <c r="Q33" i="2"/>
  <c r="I72" i="1"/>
  <c r="P72" i="1" s="1"/>
  <c r="J151" i="1"/>
  <c r="CP48" i="2"/>
  <c r="O48" i="2" s="1"/>
  <c r="F102" i="2"/>
  <c r="AZ86" i="2"/>
  <c r="GM50" i="2"/>
  <c r="GN50" i="2"/>
  <c r="GM30" i="2"/>
  <c r="J145" i="1"/>
  <c r="G158" i="1"/>
  <c r="O158" i="1" s="1"/>
  <c r="I92" i="1"/>
  <c r="P92" i="1" s="1"/>
  <c r="AX120" i="2"/>
  <c r="F62" i="2"/>
  <c r="AX26" i="2"/>
  <c r="S55" i="2"/>
  <c r="AF26" i="2"/>
  <c r="CZ35" i="2"/>
  <c r="Y35" i="2" s="1"/>
  <c r="U78" i="1" s="1"/>
  <c r="CY35" i="2"/>
  <c r="X35" i="2" s="1"/>
  <c r="S78" i="1" s="1"/>
  <c r="AQ120" i="2"/>
  <c r="F65" i="2"/>
  <c r="AQ26" i="2"/>
  <c r="CP40" i="2"/>
  <c r="O40" i="2" s="1"/>
  <c r="GN49" i="2"/>
  <c r="GM49" i="2"/>
  <c r="J154" i="1"/>
  <c r="I158" i="1" s="1"/>
  <c r="P158" i="1" s="1"/>
  <c r="F165" i="2"/>
  <c r="BC18" i="2"/>
  <c r="AP149" i="2"/>
  <c r="F129" i="2"/>
  <c r="G16" i="3" s="1"/>
  <c r="G18" i="3" s="1"/>
  <c r="AP22" i="2"/>
  <c r="CX131" i="4"/>
  <c r="GX89" i="2"/>
  <c r="CJ91" i="2" s="1"/>
  <c r="U89" i="2"/>
  <c r="AH91" i="2" s="1"/>
  <c r="Q89" i="2"/>
  <c r="G191" i="1"/>
  <c r="O191" i="1" s="1"/>
  <c r="G193" i="1" s="1"/>
  <c r="R189" i="1"/>
  <c r="I191" i="1"/>
  <c r="P191" i="1" s="1"/>
  <c r="I193" i="1" s="1"/>
  <c r="H190" i="1"/>
  <c r="T189" i="1"/>
  <c r="E189" i="1"/>
  <c r="S89" i="2"/>
  <c r="P89" i="2"/>
  <c r="R89" i="2"/>
  <c r="V89" i="2"/>
  <c r="AI91" i="2" s="1"/>
  <c r="W89" i="2"/>
  <c r="AJ91" i="2" s="1"/>
  <c r="T89" i="2"/>
  <c r="AG91" i="2" s="1"/>
  <c r="J60" i="1"/>
  <c r="G168" i="1"/>
  <c r="O168" i="1" s="1"/>
  <c r="CP41" i="2"/>
  <c r="O41" i="2" s="1"/>
  <c r="J115" i="1"/>
  <c r="GM51" i="2"/>
  <c r="J103" i="1"/>
  <c r="CP39" i="2"/>
  <c r="O39" i="2" s="1"/>
  <c r="GN30" i="2"/>
  <c r="AZ120" i="2"/>
  <c r="F66" i="2"/>
  <c r="AZ26" i="2"/>
  <c r="CY34" i="2"/>
  <c r="X34" i="2" s="1"/>
  <c r="S73" i="1" s="1"/>
  <c r="J79" i="1" s="1"/>
  <c r="J74" i="1"/>
  <c r="CZ34" i="2"/>
  <c r="Y34" i="2" s="1"/>
  <c r="U73" i="1" s="1"/>
  <c r="J166" i="1"/>
  <c r="F162" i="2"/>
  <c r="BB18" i="2"/>
  <c r="J87" i="1"/>
  <c r="CP36" i="2"/>
  <c r="O36" i="2" s="1"/>
  <c r="AH26" i="2" l="1"/>
  <c r="GN53" i="2"/>
  <c r="G199" i="1"/>
  <c r="I168" i="1"/>
  <c r="P168" i="1" s="1"/>
  <c r="I42" i="1"/>
  <c r="P42" i="1" s="1"/>
  <c r="H25" i="1"/>
  <c r="I178" i="1"/>
  <c r="P178" i="1" s="1"/>
  <c r="GM45" i="2"/>
  <c r="GN45" i="2"/>
  <c r="I64" i="1"/>
  <c r="P64" i="1" s="1"/>
  <c r="I148" i="1"/>
  <c r="P148" i="1" s="1"/>
  <c r="GM53" i="2"/>
  <c r="CJ86" i="2"/>
  <c r="BA91" i="2"/>
  <c r="AL55" i="2"/>
  <c r="AZ149" i="2"/>
  <c r="F131" i="2"/>
  <c r="AZ22" i="2"/>
  <c r="GM32" i="2"/>
  <c r="W91" i="2"/>
  <c r="W120" i="2" s="1"/>
  <c r="AJ86" i="2"/>
  <c r="CY89" i="2"/>
  <c r="X89" i="2" s="1"/>
  <c r="CZ89" i="2"/>
  <c r="Y89" i="2" s="1"/>
  <c r="AF91" i="2"/>
  <c r="U91" i="2"/>
  <c r="AH86" i="2"/>
  <c r="GM40" i="2"/>
  <c r="GN40" i="2"/>
  <c r="J106" i="1"/>
  <c r="I110" i="1" s="1"/>
  <c r="P110" i="1" s="1"/>
  <c r="U120" i="2"/>
  <c r="F77" i="2"/>
  <c r="U26" i="2"/>
  <c r="F78" i="2"/>
  <c r="V26" i="2"/>
  <c r="R55" i="2"/>
  <c r="AE26" i="2"/>
  <c r="G180" i="1"/>
  <c r="F79" i="2"/>
  <c r="W26" i="2"/>
  <c r="CH55" i="2"/>
  <c r="CE55" i="2"/>
  <c r="CF55" i="2"/>
  <c r="P55" i="2"/>
  <c r="AC26" i="2"/>
  <c r="J57" i="1"/>
  <c r="AD55" i="2"/>
  <c r="CP31" i="2"/>
  <c r="O31" i="2" s="1"/>
  <c r="GN36" i="2"/>
  <c r="GM36" i="2"/>
  <c r="GN39" i="2"/>
  <c r="GM39" i="2"/>
  <c r="GN41" i="2"/>
  <c r="GM41" i="2"/>
  <c r="GN32" i="2"/>
  <c r="GK89" i="2"/>
  <c r="AE91" i="2"/>
  <c r="F158" i="2"/>
  <c r="AP18" i="2"/>
  <c r="AX149" i="2"/>
  <c r="F127" i="2"/>
  <c r="AX22" i="2"/>
  <c r="GM48" i="2"/>
  <c r="GN48" i="2"/>
  <c r="AK55" i="2"/>
  <c r="F139" i="2"/>
  <c r="AU149" i="2"/>
  <c r="AU22" i="2"/>
  <c r="F153" i="2"/>
  <c r="AO18" i="2"/>
  <c r="GN34" i="2"/>
  <c r="G196" i="1"/>
  <c r="GN35" i="2"/>
  <c r="V91" i="2"/>
  <c r="AI86" i="2"/>
  <c r="J67" i="1"/>
  <c r="CP33" i="2"/>
  <c r="O33" i="2" s="1"/>
  <c r="GM34" i="2"/>
  <c r="BA120" i="2"/>
  <c r="F75" i="2"/>
  <c r="BA26" i="2"/>
  <c r="J80" i="1"/>
  <c r="I82" i="1" s="1"/>
  <c r="P82" i="1" s="1"/>
  <c r="T91" i="2"/>
  <c r="AG86" i="2"/>
  <c r="CP89" i="2"/>
  <c r="O89" i="2" s="1"/>
  <c r="AC91" i="2"/>
  <c r="J190" i="1"/>
  <c r="AD91" i="2"/>
  <c r="AQ149" i="2"/>
  <c r="F130" i="2"/>
  <c r="AQ22" i="2"/>
  <c r="F70" i="2"/>
  <c r="S26" i="2"/>
  <c r="GN43" i="2"/>
  <c r="GM43" i="2"/>
  <c r="T55" i="2"/>
  <c r="AG26" i="2"/>
  <c r="AT149" i="2"/>
  <c r="F138" i="2"/>
  <c r="F16" i="3" s="1"/>
  <c r="F18" i="3" s="1"/>
  <c r="AT22" i="2"/>
  <c r="GM35" i="2"/>
  <c r="I199" i="1" l="1"/>
  <c r="I196" i="1"/>
  <c r="I201" i="1" s="1"/>
  <c r="I180" i="1"/>
  <c r="F112" i="2"/>
  <c r="T86" i="2"/>
  <c r="F167" i="2"/>
  <c r="AT18" i="2"/>
  <c r="Q91" i="2"/>
  <c r="AD86" i="2"/>
  <c r="X55" i="2"/>
  <c r="AK26" i="2"/>
  <c r="R91" i="2"/>
  <c r="R120" i="2" s="1"/>
  <c r="AE86" i="2"/>
  <c r="AV55" i="2"/>
  <c r="CE26" i="2"/>
  <c r="W149" i="2"/>
  <c r="F144" i="2"/>
  <c r="W22" i="2"/>
  <c r="F69" i="2"/>
  <c r="R26" i="2"/>
  <c r="S91" i="2"/>
  <c r="AF86" i="2"/>
  <c r="F115" i="2"/>
  <c r="W86" i="2"/>
  <c r="F160" i="2"/>
  <c r="AZ18" i="2"/>
  <c r="F156" i="2"/>
  <c r="AX18" i="2"/>
  <c r="GN31" i="2"/>
  <c r="GM31" i="2"/>
  <c r="AB55" i="2"/>
  <c r="U189" i="1"/>
  <c r="AL91" i="2"/>
  <c r="CE91" i="2"/>
  <c r="CH91" i="2"/>
  <c r="CF91" i="2"/>
  <c r="P91" i="2"/>
  <c r="AC86" i="2"/>
  <c r="F114" i="2"/>
  <c r="V86" i="2"/>
  <c r="F168" i="2"/>
  <c r="AU18" i="2"/>
  <c r="Q55" i="2"/>
  <c r="AD26" i="2"/>
  <c r="P120" i="2"/>
  <c r="F58" i="2"/>
  <c r="P26" i="2"/>
  <c r="U149" i="2"/>
  <c r="F142" i="2"/>
  <c r="U22" i="2"/>
  <c r="S189" i="1"/>
  <c r="AK91" i="2"/>
  <c r="F111" i="2"/>
  <c r="BA86" i="2"/>
  <c r="AY55" i="2"/>
  <c r="CH26" i="2"/>
  <c r="Y55" i="2"/>
  <c r="AL26" i="2"/>
  <c r="BA149" i="2"/>
  <c r="F140" i="2"/>
  <c r="BA22" i="2"/>
  <c r="T120" i="2"/>
  <c r="F76" i="2"/>
  <c r="T26" i="2"/>
  <c r="F159" i="2"/>
  <c r="AQ18" i="2"/>
  <c r="GM89" i="2"/>
  <c r="CA91" i="2" s="1"/>
  <c r="GN89" i="2"/>
  <c r="CB91" i="2" s="1"/>
  <c r="AB91" i="2"/>
  <c r="GN33" i="2"/>
  <c r="GM33" i="2"/>
  <c r="H16" i="3"/>
  <c r="H18" i="3" s="1"/>
  <c r="AW55" i="2"/>
  <c r="CF26" i="2"/>
  <c r="V120" i="2"/>
  <c r="F113" i="2"/>
  <c r="U86" i="2"/>
  <c r="CA55" i="2" l="1"/>
  <c r="AR55" i="2" s="1"/>
  <c r="I202" i="1"/>
  <c r="I203" i="1" s="1"/>
  <c r="V149" i="2"/>
  <c r="F143" i="2"/>
  <c r="V22" i="2"/>
  <c r="AR91" i="2"/>
  <c r="CA86" i="2"/>
  <c r="F169" i="2"/>
  <c r="BA18" i="2"/>
  <c r="F63" i="2"/>
  <c r="AY26" i="2"/>
  <c r="Q120" i="2"/>
  <c r="F67" i="2"/>
  <c r="Q26" i="2"/>
  <c r="AY91" i="2"/>
  <c r="AY120" i="2" s="1"/>
  <c r="CH86" i="2"/>
  <c r="O55" i="2"/>
  <c r="AB26" i="2"/>
  <c r="F173" i="2"/>
  <c r="W18" i="2"/>
  <c r="F105" i="2"/>
  <c r="R86" i="2"/>
  <c r="F103" i="2"/>
  <c r="Q86" i="2"/>
  <c r="F141" i="2"/>
  <c r="T149" i="2"/>
  <c r="T22" i="2"/>
  <c r="R149" i="2"/>
  <c r="F134" i="2"/>
  <c r="R22" i="2"/>
  <c r="F61" i="2"/>
  <c r="AW26" i="2"/>
  <c r="F81" i="2"/>
  <c r="Y26" i="2"/>
  <c r="H26" i="1"/>
  <c r="I26" i="1"/>
  <c r="F123" i="2"/>
  <c r="P149" i="2"/>
  <c r="P22" i="2"/>
  <c r="F94" i="2"/>
  <c r="P86" i="2"/>
  <c r="Y91" i="2"/>
  <c r="Y120" i="2" s="1"/>
  <c r="AL86" i="2"/>
  <c r="CB55" i="2"/>
  <c r="F106" i="2"/>
  <c r="S86" i="2"/>
  <c r="S120" i="2"/>
  <c r="F60" i="2"/>
  <c r="AV26" i="2"/>
  <c r="F80" i="2"/>
  <c r="X26" i="2"/>
  <c r="AV91" i="2"/>
  <c r="AV120" i="2" s="1"/>
  <c r="CE86" i="2"/>
  <c r="O91" i="2"/>
  <c r="AB86" i="2"/>
  <c r="AS91" i="2"/>
  <c r="CB86" i="2"/>
  <c r="X91" i="2"/>
  <c r="AK86" i="2"/>
  <c r="F171" i="2"/>
  <c r="U18" i="2"/>
  <c r="AW91" i="2"/>
  <c r="AW120" i="2" s="1"/>
  <c r="CF86" i="2"/>
  <c r="CA26" i="2" l="1"/>
  <c r="AW149" i="2"/>
  <c r="F126" i="2"/>
  <c r="AW22" i="2"/>
  <c r="AS55" i="2"/>
  <c r="CB26" i="2"/>
  <c r="F99" i="2"/>
  <c r="AY86" i="2"/>
  <c r="F93" i="2"/>
  <c r="O86" i="2"/>
  <c r="Y149" i="2"/>
  <c r="F146" i="2"/>
  <c r="Y22" i="2"/>
  <c r="F170" i="2"/>
  <c r="T18" i="2"/>
  <c r="F172" i="2"/>
  <c r="V18" i="2"/>
  <c r="F97" i="2"/>
  <c r="AW86" i="2"/>
  <c r="S149" i="2"/>
  <c r="F135" i="2"/>
  <c r="J16" i="3" s="1"/>
  <c r="J18" i="3" s="1"/>
  <c r="S22" i="2"/>
  <c r="O120" i="2"/>
  <c r="F57" i="2"/>
  <c r="O26" i="2"/>
  <c r="F128" i="2"/>
  <c r="AY149" i="2"/>
  <c r="AY22" i="2"/>
  <c r="F118" i="2"/>
  <c r="AR86" i="2"/>
  <c r="F116" i="2"/>
  <c r="X86" i="2"/>
  <c r="F125" i="2"/>
  <c r="AV149" i="2"/>
  <c r="AV22" i="2"/>
  <c r="X120" i="2"/>
  <c r="F108" i="2"/>
  <c r="AS86" i="2"/>
  <c r="F96" i="2"/>
  <c r="AV86" i="2"/>
  <c r="F117" i="2"/>
  <c r="Y86" i="2"/>
  <c r="F152" i="2"/>
  <c r="P18" i="2"/>
  <c r="F163" i="2"/>
  <c r="R18" i="2"/>
  <c r="F132" i="2"/>
  <c r="Q149" i="2"/>
  <c r="Q22" i="2"/>
  <c r="AR120" i="2"/>
  <c r="F82" i="2"/>
  <c r="AR26" i="2"/>
  <c r="F145" i="2" l="1"/>
  <c r="X149" i="2"/>
  <c r="X22" i="2"/>
  <c r="AS120" i="2"/>
  <c r="F72" i="2"/>
  <c r="AS26" i="2"/>
  <c r="F161" i="2"/>
  <c r="Q18" i="2"/>
  <c r="F157" i="2"/>
  <c r="AY18" i="2"/>
  <c r="O149" i="2"/>
  <c r="F122" i="2"/>
  <c r="O22" i="2"/>
  <c r="F164" i="2"/>
  <c r="S18" i="2"/>
  <c r="F154" i="2"/>
  <c r="AV18" i="2"/>
  <c r="I27" i="1"/>
  <c r="F175" i="2"/>
  <c r="Y18" i="2"/>
  <c r="AR149" i="2"/>
  <c r="F147" i="2"/>
  <c r="I25" i="1" s="1"/>
  <c r="AR22" i="2"/>
  <c r="F155" i="2"/>
  <c r="AW18" i="2"/>
  <c r="F137" i="2" l="1"/>
  <c r="E16" i="3" s="1"/>
  <c r="AS149" i="2"/>
  <c r="AS22" i="2"/>
  <c r="F151" i="2"/>
  <c r="O18" i="2"/>
  <c r="F174" i="2"/>
  <c r="X18" i="2"/>
  <c r="F176" i="2"/>
  <c r="F177" i="2" s="1"/>
  <c r="AR18" i="2"/>
  <c r="F178" i="2" l="1"/>
  <c r="F166" i="2"/>
  <c r="AS18" i="2"/>
  <c r="I16" i="3"/>
  <c r="I18" i="3" s="1"/>
  <c r="E18" i="3"/>
  <c r="F179" i="2" l="1"/>
</calcChain>
</file>

<file path=xl/sharedStrings.xml><?xml version="1.0" encoding="utf-8"?>
<sst xmlns="http://schemas.openxmlformats.org/spreadsheetml/2006/main" count="2526" uniqueCount="448">
  <si>
    <t>Форма № 1а</t>
  </si>
  <si>
    <t>"СОГЛАСОВАНО"</t>
  </si>
  <si>
    <t>"УТВЕРЖДАЮ"</t>
  </si>
  <si>
    <t>"_____"________________ 2017 г.</t>
  </si>
  <si>
    <t xml:space="preserve">(наименование стройки) 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</si>
  <si>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</si>
  <si>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</si>
  <si>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</si>
  <si>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</si>
  <si>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</si>
  <si>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</si>
  <si>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</si>
  <si>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Нормативная трудоемкость</t>
  </si>
  <si>
    <t>чел.час.</t>
  </si>
  <si>
    <t>Средства на оплату труда</t>
  </si>
  <si>
    <t xml:space="preserve">Составлен(а) в уровне текущих (прогнозных) цен ТСНБ-2001 Московской области (редакция 2014 г) сентябрь 2017 года </t>
  </si>
  <si>
    <t>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</si>
  <si>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</si>
  <si>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</si>
  <si>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</si>
  <si>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</si>
  <si>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единицу измерения, руб.</t>
  </si>
  <si>
    <t>Поправочные коэфф., нормы НР и СП</t>
  </si>
  <si>
    <t>ВСЕГО затрат в базисном уровне цен, руб.</t>
  </si>
  <si>
    <t>Индексы пересчета, нормы НР и СП</t>
  </si>
  <si>
    <t>ВСЕГО затрат, руб.</t>
  </si>
  <si>
    <r>
      <rPr>
        <sz val="11"/>
        <rFont val="Arial"/>
        <charset val="204"/>
      </rPr>
      <t xml:space="preserve">01-01-013-7
</t>
    </r>
    <r>
      <rPr>
        <i/>
        <sz val="10"/>
        <rFont val="Arial"/>
        <charset val="204"/>
      </rPr>
      <t>Поправка: МДС 81-35.2004, п.4.7</t>
    </r>
  </si>
  <si>
    <t>ЗП</t>
  </si>
  <si>
    <t>ЭМ</t>
  </si>
  <si>
    <t>в т.ч. ЗПМ</t>
  </si>
  <si>
    <t>МР</t>
  </si>
  <si>
    <t>%</t>
  </si>
  <si>
    <t>ЗТР</t>
  </si>
  <si>
    <t>чел-ч</t>
  </si>
  <si>
    <t>Всего по позиции</t>
  </si>
  <si>
    <r>
      <rPr>
        <sz val="11"/>
        <rFont val="Arial"/>
        <charset val="204"/>
      </rPr>
      <t xml:space="preserve">27-02-001-3
</t>
    </r>
    <r>
      <rPr>
        <i/>
        <sz val="10"/>
        <rFont val="Arial"/>
        <charset val="204"/>
      </rPr>
      <t>Поправка: МДС 81-35.2004, п.4.7</t>
    </r>
  </si>
  <si>
    <r>
      <rPr>
        <sz val="11"/>
        <rFont val="Arial"/>
        <charset val="204"/>
      </rPr>
      <t xml:space="preserve">07-02-003-8
</t>
    </r>
    <r>
      <rPr>
        <i/>
        <sz val="10"/>
        <rFont val="Arial"/>
        <charset val="204"/>
      </rPr>
      <t>Поправка: МДС 81-35.2004, п.4.7</t>
    </r>
  </si>
  <si>
    <r>
      <rPr>
        <sz val="11"/>
        <rFont val="Arial"/>
        <charset val="204"/>
      </rPr>
      <t xml:space="preserve">27-04-001-1
</t>
    </r>
    <r>
      <rPr>
        <i/>
        <sz val="10"/>
        <rFont val="Arial"/>
        <charset val="204"/>
      </rPr>
      <t>Поправка: МДС 81-35.2004, п.4.7</t>
    </r>
  </si>
  <si>
    <r>
      <rPr>
        <sz val="11"/>
        <rFont val="Arial"/>
        <charset val="204"/>
      </rPr>
      <t xml:space="preserve">27-04-001-4
</t>
    </r>
    <r>
      <rPr>
        <i/>
        <sz val="10"/>
        <rFont val="Arial"/>
        <charset val="204"/>
      </rPr>
      <t>Поправка: МДС 81-35.2004, п.4.7</t>
    </r>
  </si>
  <si>
    <r>
      <rPr>
        <sz val="11"/>
        <rFont val="Arial"/>
        <charset val="204"/>
      </rPr>
      <t xml:space="preserve">27-06-001-1
</t>
    </r>
    <r>
      <rPr>
        <i/>
        <sz val="10"/>
        <rFont val="Arial"/>
        <charset val="204"/>
      </rPr>
      <t>Поправка: МДС 81-35.2004, п.4.7</t>
    </r>
  </si>
  <si>
    <t xml:space="preserve">Составил   </t>
  </si>
  <si>
    <t>[должность,подпись(инициалы,фамилия)]</t>
  </si>
  <si>
    <t xml:space="preserve">Проверил   </t>
  </si>
  <si>
    <t>Smeta.Cloud  (495) 974-1589</t>
  </si>
  <si>
    <t>_PS_</t>
  </si>
  <si>
    <t>Smeta.Cloud</t>
  </si>
  <si>
    <t>Новый объект</t>
  </si>
  <si>
    <t>№380-24.10.17 - текущие цены</t>
  </si>
  <si>
    <t>Сметные нормы списания</t>
  </si>
  <si>
    <t>Коды ценников</t>
  </si>
  <si>
    <t>Московская область ТСНБ-2001 (редакция 2014 г)</t>
  </si>
  <si>
    <t>ТР для Версии 10: Центральные регионы (с учетом п-ма 2536-ИП/12/ГС от 22.03.2017 г</t>
  </si>
  <si>
    <t>ТСНБ-2001 Московской области (редакция 2014 г версия 15.0)</t>
  </si>
  <si>
    <t>Поправки  для НБ 2014 года от 28.04.2017</t>
  </si>
  <si>
    <t>Козино - дорога</t>
  </si>
  <si>
    <t>Новый раздел</t>
  </si>
  <si>
    <t>Строительные работы</t>
  </si>
  <si>
    <t>1</t>
  </si>
  <si>
    <t>01-01-013-7</t>
  </si>
  <si>
    <t>Разработка грунта с погрузкой на автомобили-самосвалы экскаваторами с ковшом вместимостью 0,65 (0,5-1) м3, группа грунтов 1</t>
  </si>
  <si>
    <t>1000 м3 грунта</t>
  </si>
  <si>
    <t>ТЕР Московской обл., 01-01-013-7, приказ Минстроя России №675/пр от 28.02.2017 № 260/пр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</si>
  <si>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</si>
  <si>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)*1,25</t>
  </si>
  <si>
    <t>)*1,15</t>
  </si>
  <si>
    <t>Общестроительные работы</t>
  </si>
  <si>
    <t>Земляные работы, выполняемые  механизированным способом</t>
  </si>
  <si>
    <t>ФЕР-01</t>
  </si>
  <si>
    <t>Поправка: МДС 81-35.2004, п.4.7</t>
  </si>
  <si>
    <t>*0,9</t>
  </si>
  <si>
    <t>*0,85</t>
  </si>
  <si>
    <t>*0,8</t>
  </si>
  <si>
    <t>2</t>
  </si>
  <si>
    <t>т03-21-01-030</t>
  </si>
  <si>
    <t>Перевозка грузов I класса автомобилями-самосвалами грузоподъемностью 10 т работающих вне карьера на расстояние до 30 км</t>
  </si>
  <si>
    <t>1 Т ГРУЗА</t>
  </si>
  <si>
    <t>ТССЦпг Московской обл., т03-21-01-030, приказ Минстроя России №675/пр от 28.02.2017 № 261/пр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</si>
  <si>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</si>
  <si>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</si>
  <si>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</si>
  <si>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3</t>
  </si>
  <si>
    <t>27-02-001-3</t>
  </si>
  <si>
    <t>Устройство дренажей поперечных с односторонним выпуском</t>
  </si>
  <si>
    <t>100 м дренажа</t>
  </si>
  <si>
    <t>ТЕР Московской обл., 27-02-001-3, приказ Минстроя России №675/пр от 28.02.2017 № 260/пр</t>
  </si>
  <si>
    <t>Автомобильные дороги</t>
  </si>
  <si>
    <t>ФЕР-27</t>
  </si>
  <si>
    <t>4</t>
  </si>
  <si>
    <t>07-02-003-8</t>
  </si>
  <si>
    <t>Укладка плит покрытия</t>
  </si>
  <si>
    <t>100 шт. сборных конструкций</t>
  </si>
  <si>
    <t>ТЕР Московской обл., 07-02-003-8, приказ Минстроя России №675/пр от 28.02.2017 № 260/пр</t>
  </si>
  <si>
    <t>Сборные бетонные конструкции в промышленном строительстве  ( водопровод и канализация )</t>
  </si>
  <si>
    <t>ФЕР-07</t>
  </si>
  <si>
    <t>4,1</t>
  </si>
  <si>
    <t>403-5553</t>
  </si>
  <si>
    <t>Плиты дорожные 2П30.18.30 /бетон В22,5 (М300), объем 0,88 м3, расход арматуры 46,48 кг/ (ГОСТ 21924.2-84)</t>
  </si>
  <si>
    <t>шт.</t>
  </si>
  <si>
    <t>ТССЦ Московской обл., 403-5553, приказ Минстроя России №675/пр от 28.02.2017 № 257/пр</t>
  </si>
  <si>
    <t>5</t>
  </si>
  <si>
    <t>27-03-008-4</t>
  </si>
  <si>
    <t>Разборка покрытий и оснований асфальтобетонных</t>
  </si>
  <si>
    <t>100 м3 конструкций</t>
  </si>
  <si>
    <t>ТЕР Московской обл., 27-03-008-4, приказ Минстроя России №675/пр от 28.02.2017 № 260/пр</t>
  </si>
  <si>
    <t>6</t>
  </si>
  <si>
    <t>27-04-001-1</t>
  </si>
  <si>
    <t>Устройство подстилающих и выравнивающих слоев оснований из песка</t>
  </si>
  <si>
    <t>100 м3 материала основания (в плотном теле)</t>
  </si>
  <si>
    <t>ТЕР Московской обл., 27-04-001-1, приказ Минстроя России №675/пр от 28.02.2017 № 260/пр</t>
  </si>
  <si>
    <t>6,1</t>
  </si>
  <si>
    <t>408-0122</t>
  </si>
  <si>
    <t>Песок природный для строительных работ средний</t>
  </si>
  <si>
    <t>м3</t>
  </si>
  <si>
    <t>ТССЦ Московской обл., 408-0122, приказ Минстроя России №675/пр от 28.02.2017 № 257/пр</t>
  </si>
  <si>
    <t>7</t>
  </si>
  <si>
    <t>27-04-001-4</t>
  </si>
  <si>
    <t>Устройство подстилающих и выравнивающих слоев оснований из щебня</t>
  </si>
  <si>
    <t>ТЕР Московской обл., 27-04-001-4, приказ Минстроя России №675/пр от 28.02.2017 № 260/пр</t>
  </si>
  <si>
    <t>7,1</t>
  </si>
  <si>
    <t>408-0011</t>
  </si>
  <si>
    <t>Щебень из природного камня для строительных работ марка 1000, фракция 20-40 мм</t>
  </si>
  <si>
    <t>ТССЦ Московской обл., 408-0011, приказ Минстроя России №675/пр от 28.02.2017 № 257/пр</t>
  </si>
  <si>
    <t>8</t>
  </si>
  <si>
    <t>9</t>
  </si>
  <si>
    <t>9,1</t>
  </si>
  <si>
    <t>10</t>
  </si>
  <si>
    <t>10,1</t>
  </si>
  <si>
    <t>11</t>
  </si>
  <si>
    <t>27-06-001-1</t>
  </si>
  <si>
    <t>Устройство дорожных покрытий из сборных шестигранных железобетонных плит</t>
  </si>
  <si>
    <t>100 м3 сборных железобетонных плит</t>
  </si>
  <si>
    <t>ТЕР Московской обл., 27-06-001-1, приказ Минстроя России №675/пр от 28.02.2017 № 260/пр</t>
  </si>
  <si>
    <t>11,1</t>
  </si>
  <si>
    <t>12</t>
  </si>
  <si>
    <t>13</t>
  </si>
  <si>
    <t>13,1</t>
  </si>
  <si>
    <t>14</t>
  </si>
  <si>
    <t>14,1</t>
  </si>
  <si>
    <t>15</t>
  </si>
  <si>
    <t>15,1</t>
  </si>
  <si>
    <t>16</t>
  </si>
  <si>
    <t>16,1</t>
  </si>
  <si>
    <t>403-5552</t>
  </si>
  <si>
    <t>Плиты дорожные 2П30.18-10 /бетон В22,5 (М300), объем 0,88 м3, расход арматуры 37,24 кг/ (ГОСТ 21924.0-3-84)</t>
  </si>
  <si>
    <t>ТССЦ Московской обл., 403-5552, приказ Минстроя России №675/пр от 28.02.2017 № 257/пр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</si>
  <si>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</si>
  <si>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</si>
  <si>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</si>
  <si>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</si>
  <si>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</si>
  <si>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</si>
  <si>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</si>
  <si>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</si>
  <si>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</si>
  <si>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</si>
  <si>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</si>
  <si>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</si>
  <si>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</si>
  <si>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</si>
  <si>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</si>
  <si>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</si>
  <si>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</si>
  <si>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</si>
  <si>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</si>
  <si>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</si>
  <si>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</si>
  <si>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</si>
  <si>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</si>
  <si>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</si>
  <si>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</si>
  <si>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</si>
  <si>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</si>
  <si>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</si>
  <si>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</si>
  <si>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</si>
  <si>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</si>
  <si>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</si>
  <si>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</si>
  <si>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</si>
  <si>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</si>
  <si>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</si>
  <si>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</si>
  <si>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</si>
  <si>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</si>
  <si>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</si>
  <si>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</si>
  <si>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</si>
  <si>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</si>
  <si>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</si>
  <si>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</si>
  <si>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</si>
  <si>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</si>
  <si>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</si>
  <si>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</si>
  <si>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</si>
  <si>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</si>
  <si>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</si>
  <si>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Погрузка и вывоз мусора</t>
  </si>
  <si>
    <t>т01-01-01-041</t>
  </si>
  <si>
    <t>Погрузка при автомобильных перевозках мусора строительного с погрузкой вручную</t>
  </si>
  <si>
    <t>ТССЦпг Московской обл., т01-01-01-041, приказ Минстроя России №675/пр от 28.02.2017 № 261/пр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</si>
  <si>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</si>
  <si>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</si>
  <si>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</si>
  <si>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Итого</t>
  </si>
  <si>
    <t>НДС 18%</t>
  </si>
  <si>
    <t>Итого с НДС</t>
  </si>
  <si>
    <t>222</t>
  </si>
  <si>
    <t>Новая переменная</t>
  </si>
  <si>
    <t>2222</t>
  </si>
  <si>
    <t>223</t>
  </si>
  <si>
    <t>224</t>
  </si>
  <si>
    <t>225</t>
  </si>
  <si>
    <t>23</t>
  </si>
  <si>
    <t>aaa</t>
  </si>
  <si>
    <t>aaa1</t>
  </si>
  <si>
    <t>b</t>
  </si>
  <si>
    <t>co</t>
  </si>
  <si>
    <t>Coefficient</t>
  </si>
  <si>
    <t>g1</t>
  </si>
  <si>
    <t>Переменная 1</t>
  </si>
  <si>
    <t>g2</t>
  </si>
  <si>
    <t>Переменная 2</t>
  </si>
  <si>
    <t>g3</t>
  </si>
  <si>
    <t>Variable 3</t>
  </si>
  <si>
    <t>i</t>
  </si>
  <si>
    <t>inc</t>
  </si>
  <si>
    <t>Increment</t>
  </si>
  <si>
    <t>L</t>
  </si>
  <si>
    <t>Длина трубы</t>
  </si>
  <si>
    <t>Mk</t>
  </si>
  <si>
    <t>MMM</t>
  </si>
  <si>
    <t>Моя переменная</t>
  </si>
  <si>
    <t>tt</t>
  </si>
  <si>
    <t>Voyager</t>
  </si>
  <si>
    <t>12121212</t>
  </si>
  <si>
    <t>xxx</t>
  </si>
  <si>
    <t>zzz</t>
  </si>
  <si>
    <t>высота</t>
  </si>
  <si>
    <t>стена №1</t>
  </si>
  <si>
    <t>ГлобПер</t>
  </si>
  <si>
    <t>Глобальная переменная</t>
  </si>
  <si>
    <t>Переменная</t>
  </si>
  <si>
    <t>Переменная1</t>
  </si>
  <si>
    <t>Переменная2</t>
  </si>
  <si>
    <t>index</t>
  </si>
  <si>
    <t>Переменная3</t>
  </si>
  <si>
    <t>Переменная4</t>
  </si>
  <si>
    <t>Переменная_1</t>
  </si>
  <si>
    <t>Переменная_2</t>
  </si>
  <si>
    <t>Переменная_3</t>
  </si>
  <si>
    <t>Переменная_4</t>
  </si>
  <si>
    <t>Переменная_5</t>
  </si>
  <si>
    <t>Переменная_6</t>
  </si>
  <si>
    <t>Переменная_7</t>
  </si>
  <si>
    <t>Переменная_8</t>
  </si>
  <si>
    <t>Переменная_9</t>
  </si>
  <si>
    <t>разработка логистики транспорта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</si>
  <si>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</si>
  <si>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</si>
  <si>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</si>
  <si>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</si>
  <si>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</si>
  <si>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</si>
  <si>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</si>
  <si>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</si>
  <si>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</si>
  <si>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</si>
  <si>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</si>
  <si>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</si>
  <si>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</si>
  <si>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</si>
  <si>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</si>
  <si>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</si>
  <si>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</si>
  <si>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</si>
  <si>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</si>
  <si>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</si>
  <si>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</si>
  <si>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</si>
  <si>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</si>
  <si>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</si>
  <si>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</si>
  <si>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</si>
  <si>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</si>
  <si>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</si>
  <si>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</si>
  <si>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</si>
  <si>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</si>
  <si>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</si>
  <si>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</si>
  <si>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</si>
  <si>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</si>
  <si>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</si>
  <si>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</si>
  <si>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</si>
  <si>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</si>
  <si>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</si>
  <si>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</si>
  <si>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</si>
  <si>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</si>
  <si>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</si>
  <si>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</si>
  <si>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</si>
  <si>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</si>
  <si>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</si>
  <si>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</si>
  <si>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</si>
  <si>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</si>
  <si>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</si>
  <si>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</si>
  <si>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</si>
  <si>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</si>
  <si>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</si>
  <si>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</si>
  <si>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</si>
  <si>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</si>
  <si>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</si>
  <si>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</si>
  <si>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Текущий уровень цен</t>
  </si>
  <si>
    <t>Сборник индексов</t>
  </si>
  <si>
    <t>ТСНБ-2001 Московской области (редакция 2014 г)</t>
  </si>
  <si>
    <t>_OBSM_</t>
  </si>
  <si>
    <t>1-1020-90</t>
  </si>
  <si>
    <t>Рабочий строитель среднего разряда 2</t>
  </si>
  <si>
    <t>чел.-ч</t>
  </si>
  <si>
    <t>Затраты труда машинистов</t>
  </si>
  <si>
    <t>чел.час</t>
  </si>
  <si>
    <t>060248</t>
  </si>
  <si>
    <t>ТСЭМ Московской обл., 060248, приказ Минстроя России №675/пр от 28.02.2017 № 264/пр</t>
  </si>
  <si>
    <t>Экскаваторы одноковшовые дизельные на гусеничном ходу при работе на других видах строительства 0,65 м3</t>
  </si>
  <si>
    <t>маш.-ч</t>
  </si>
  <si>
    <t>070149</t>
  </si>
  <si>
    <t>ТСЭМ Московской обл., 070149, приказ Минстроя России №675/пр от 28.02.2017 № 264/пр</t>
  </si>
  <si>
    <t>Бульдозеры при работе на других видах строительства 79 кВт (108 л.с.)</t>
  </si>
  <si>
    <t>408-0015</t>
  </si>
  <si>
    <t>ТССЦ Московской обл., 408-0015, приказ Минстроя России №675/пр от 28.02.2017 № 257/пр</t>
  </si>
  <si>
    <t>Щебень из природного камня для строительных работ марка 800, фракция 20-40 мм</t>
  </si>
  <si>
    <t>400052</t>
  </si>
  <si>
    <t>ТСЭМ Московской обл., 400052, приказ Минстроя России №675/пр от 28.02.2017 № 264/пр</t>
  </si>
  <si>
    <t>Автомобиль-самосвал, грузоподъемность до 10 т</t>
  </si>
  <si>
    <t>1-1027-90</t>
  </si>
  <si>
    <t>Рабочий строитель среднего разряда 2,7</t>
  </si>
  <si>
    <t>030101</t>
  </si>
  <si>
    <t>ТСЭМ Московской обл., 030101, приказ Минстроя России №675/пр от 28.02.2017 № 264/пр</t>
  </si>
  <si>
    <t>Автопогрузчики 5 т</t>
  </si>
  <si>
    <t>040101</t>
  </si>
  <si>
    <t>ТСЭМ Московской обл., 040101, приказ Минстроя России №675/пр от 28.02.2017 № 264/пр</t>
  </si>
  <si>
    <t>Электростанции передвижные 2 кВт</t>
  </si>
  <si>
    <t>120202</t>
  </si>
  <si>
    <t>ТСЭМ Московской обл., 120202, приказ Минстроя России №675/пр от 28.02.2017 № 264/пр</t>
  </si>
  <si>
    <t>Автогрейдеры среднего типа 99 кВт (135 л.с.)</t>
  </si>
  <si>
    <t>331531</t>
  </si>
  <si>
    <t>ТСЭМ Московской обл., 331531, приказ Минстроя России №675/пр от 28.02.2017 № 264/пр</t>
  </si>
  <si>
    <t>Пила дисковая электрическая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</si>
  <si>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</si>
  <si>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</si>
  <si>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</si>
  <si>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101-0857</t>
  </si>
  <si>
    <t>ТССЦ Московской обл., 101-0857, приказ Минстроя России №675/пр от 28.02.2017 № 254/пр</t>
  </si>
  <si>
    <t>Рубероид подкладочный с пылевидной посыпкой РПП-300б</t>
  </si>
  <si>
    <t>м2</t>
  </si>
  <si>
    <t>101-2260</t>
  </si>
  <si>
    <t>ТССЦ Московской обл., 101-2260, приказ Минстроя России №675/пр от 28.02.2017 № 254/пр</t>
  </si>
  <si>
    <t>Трубы хризотилцементные безнапорные БНТ, диаметр условного прохода 100 мм</t>
  </si>
  <si>
    <t>м</t>
  </si>
  <si>
    <t>104-0068</t>
  </si>
  <si>
    <t>ТССЦ Московской обл., 104-0068, приказ Минстроя России №675/пр от 28.02.2017 № 254/пр</t>
  </si>
  <si>
    <t>Холсты стекловолокнистые марки ВВ-Г, высший сорт</t>
  </si>
  <si>
    <t>10 м2</t>
  </si>
  <si>
    <t>1-1037-90</t>
  </si>
  <si>
    <t>Рабочий строитель среднего разряда 3,7</t>
  </si>
  <si>
    <t>021141</t>
  </si>
  <si>
    <t>ТСЭМ Московской обл., 021141, приказ Минстроя России №675/пр от 28.02.2017 № 264/пр</t>
  </si>
  <si>
    <t>Краны на автомобильном ходу при работе на других видах строительства 10 т</t>
  </si>
  <si>
    <t>021244</t>
  </si>
  <si>
    <t>ТСЭМ Московской обл., 021244, приказ Минстроя России №675/пр от 28.02.2017 № 264/пр</t>
  </si>
  <si>
    <t>Краны на гусеничном ходу при работе на других видах строительства 25 т</t>
  </si>
  <si>
    <t>101-1714</t>
  </si>
  <si>
    <t>ТССЦ Московской обл., 101-1714, приказ Минстроя России №675/пр от 28.02.2017 № 254/пр</t>
  </si>
  <si>
    <t>Болты с гайками и шайбами строительные</t>
  </si>
  <si>
    <t>т</t>
  </si>
  <si>
    <t>201-0777</t>
  </si>
  <si>
    <t>ТССЦ Московской обл., 201-0777, приказ Минстроя России №675/пр от 28.02.2017 № 255/пр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</si>
  <si>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</si>
  <si>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401-0088</t>
  </si>
  <si>
    <t>ТССЦ Московской обл., 401-0088, приказ Минстроя России №675/пр от 28.02.2017 № 257/пр</t>
  </si>
  <si>
    <t>Бетон тяжелый, крупность заполнителя 10 мм, класс В22,5 (М300)</t>
  </si>
  <si>
    <t>050101</t>
  </si>
  <si>
    <t>ТСЭМ Московской обл., 050101, приказ Минстроя России №675/пр от 28.02.2017 № 264/пр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</si>
  <si>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</si>
  <si>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</si>
  <si>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ТСЭМ Московской обл., 330804, приказ Минстроя России №675/пр от 28.02.2017 № 264/пр</t>
  </si>
  <si>
    <t>Молотки при работе от передвижных компрессорных станций отбойные пневматические</t>
  </si>
  <si>
    <t>1-1023-90</t>
  </si>
  <si>
    <t>Рабочий строитель среднего разряда 2,3</t>
  </si>
  <si>
    <t>120911</t>
  </si>
  <si>
    <t>ТСЭМ Московской обл., 120911, приказ Минстроя России №675/пр от 28.02.2017 № 264/пр</t>
  </si>
  <si>
    <t>Катки на пневмоколесном ходу 30 т</t>
  </si>
  <si>
    <t>121601</t>
  </si>
  <si>
    <t>ТСЭМ Московской обл., 121601, приказ Минстроя России №675/пр от 28.02.2017 № 264/пр</t>
  </si>
  <si>
    <t>Машины поливомоечные 6000 л</t>
  </si>
  <si>
    <t>411-0001</t>
  </si>
  <si>
    <t>ТССЦ Московской обл., 411-0001, приказ Минстроя России №675/пр от 28.02.2017 № 257/пр</t>
  </si>
  <si>
    <t>Вода</t>
  </si>
  <si>
    <t>1-1024-90</t>
  </si>
  <si>
    <t>Рабочий строитель среднего разряда 2,4</t>
  </si>
  <si>
    <t>1-1032-90</t>
  </si>
  <si>
    <t>Рабочий строитель среднего разряда 3,2</t>
  </si>
  <si>
    <t>040202</t>
  </si>
  <si>
    <t>ТСЭМ Московской обл., 040202, приказ Минстроя России №675/пр от 28.02.2017 № 264/пр</t>
  </si>
  <si>
    <t>Агрегаты сварочные передвижные с номинальным сварочным током 250-400 А с дизельным двигателем</t>
  </si>
  <si>
    <t>120600</t>
  </si>
  <si>
    <t>ТСЭМ Московской обл., 120600, приказ Минстроя России №675/пр от 28.02.2017 № 264/пр</t>
  </si>
  <si>
    <t>Заливщик швов на базе автомобиля</t>
  </si>
  <si>
    <t>121011</t>
  </si>
  <si>
    <t>ТСЭМ Московской обл., 121011, приказ Минстроя России №675/пр от 28.02.2017 № 264/пр</t>
  </si>
  <si>
    <t>Котлы битумные передвижные 400 л</t>
  </si>
  <si>
    <t>101-1513</t>
  </si>
  <si>
    <t>ТССЦ Московской обл., 101-1513, приказ Минстроя России №675/пр от 28.02.2017 № 254/пр</t>
  </si>
  <si>
    <t>Электроды диаметром 4 мм Э42</t>
  </si>
  <si>
    <t>101-1763</t>
  </si>
  <si>
    <t>ТССЦ Московской обл., 101-1763, приказ Минстроя России №675/пр от 28.02.2017 № 254/пр</t>
  </si>
  <si>
    <t>Мастика битумно-полимерная</t>
  </si>
  <si>
    <t>401-0010</t>
  </si>
  <si>
    <t>ТССЦ Московской обл., 401-0010, приказ Минстроя России №675/пр от 28.02.2017 № 257/пр</t>
  </si>
  <si>
    <t>Бетон тяжелый, класс В27,5 (М350)</t>
  </si>
  <si>
    <t>402-0078</t>
  </si>
  <si>
    <t>ТССЦ Московской обл., 402-0078, приказ Минстроя России №675/пр от 28.02.2017 № 257/пр</t>
  </si>
  <si>
    <t>Раствор готовый отделочный тяжелый, цементный 1:3</t>
  </si>
  <si>
    <t>1-1010-90</t>
  </si>
  <si>
    <t>Рабочий строитель среднего разряда 1</t>
  </si>
  <si>
    <t>400051</t>
  </si>
  <si>
    <t>ТСЭМ Московской обл., 400051, приказ Минстроя России №675/пр от 28.02.2017 № 264/пр</t>
  </si>
  <si>
    <t>Автомобиль-самосвал, грузоподъемность до 7 т</t>
  </si>
  <si>
    <t>403-9020</t>
  </si>
  <si>
    <t>ТССЦ Московской обл., 403-9020, приказ Минстроя России №675/пр от 28.02.2017 № 257/пр</t>
  </si>
  <si>
    <t>Конструкции сборные железобетонные</t>
  </si>
  <si>
    <t>408-9040</t>
  </si>
  <si>
    <t>ТССЦ Московской обл., 408-9040, приказ Минстроя России №675/пр от 28.02.2017 № 257/пр</t>
  </si>
  <si>
    <t>Песок для строительных работ природный</t>
  </si>
  <si>
    <t>408-9080</t>
  </si>
  <si>
    <t>ТССЦ Московской обл., 408-9080, приказ Минстроя России №675/пр от 28.02.2017 № 257/пр</t>
  </si>
  <si>
    <t>Щебень</t>
  </si>
  <si>
    <t>403-9138</t>
  </si>
  <si>
    <t>ТССЦ Московской обл., 403-9138, приказ Минстроя России №675/пр от 28.02.2017 № 257/пр</t>
  </si>
  <si>
    <t>Плиты сборные железобетонные</t>
  </si>
  <si>
    <t>на ремонт дороги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</si>
</sst>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&quot;- &quot;#,##0.00"/>
    <numFmt numFmtId="165" formatCode="mmmm"/>
    <numFmt numFmtId="166" formatCode="#,##0.00####;[Red]&quot;- &quot;#,##0.00####"/>
  </numFmts>
  <fonts count="12" x14ac:knownFonts="1">
    <font>
      <sz val="10"/>
      <name val="Arial"/>
      <charset val="204"/>
    </font>
    <font>
      <sz val="9"/>
      <name val="Arial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charset val="204"/>
    </font>
    <font>
      <sz val="11"/>
      <name val="Arial"/>
      <charset val="204"/>
    </font>
    <font>
      <i/>
      <sz val="10"/>
      <name val="Arial"/>
      <charset val="204"/>
    </font>
    <font>
      <i/>
      <sz val="11"/>
      <name val="Arial"/>
      <charset val="204"/>
    </font>
    <font>
      <b/>
      <sz val="11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1" fontId="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 wrapText="1"/>
    </xf>
    <xf numFmtId="166" fontId="8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0" fontId="11" fillId="0" borderId="0" xfId="0" applyFont="1" applyAlignment="1">
      <alignment vertical="top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right" vertical="top" shrinkToFi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1"/>
  <sheetViews>
    <sheetView tabSelected="1" zoomScaleNormal="100" workbookViewId="0">
      <selection activeCell="B7" sqref="B7:E7"/>
    </sheetView>
  </sheetViews>
  <sheetFormatPr defaultRowHeight="12.75" x14ac:dyDescent="0.35"/>
  <cols>
    <col min="1" max="1" width="6.53125" customWidth="1"/>
    <col min="2" max="2" width="20.46484375" customWidth="1"/>
    <col min="3" max="3" width="45.86328125" customWidth="1"/>
    <col min="4" max="4" width="11.46484375"/>
    <col min="5" max="9" width="12.6640625" customWidth="1"/>
    <col min="10" max="14" width="11.46484375"/>
    <col min="15" max="21" width="11.46484375" hidden="1"/>
    <col min="22" max="1025" width="11.46484375"/>
  </cols>
  <sheetData>
    <row r="1" spans="1:10" x14ac:dyDescent="0.35">
      <c r="A1" s="1"/>
    </row>
    <row r="2" spans="1:10" x14ac:dyDescent="0.35">
      <c r="J2" t="s">
        <v>0</v>
      </c>
    </row>
    <row r="3" spans="1:10" ht="16.899999999999999" x14ac:dyDescent="0.5">
      <c r="A3" s="2"/>
      <c r="B3" s="26" t="s">
        <v>1</v>
      </c>
      <c r="C3" s="26"/>
      <c r="D3" s="26"/>
      <c r="E3" s="26"/>
      <c r="F3" s="3"/>
      <c r="G3" s="26" t="s">
        <v>2</v>
      </c>
      <c r="H3" s="26"/>
      <c r="I3" s="26"/>
      <c r="J3" s="26"/>
    </row>
    <row r="4" spans="1:10" ht="13.5" x14ac:dyDescent="0.35">
      <c r="A4" s="3"/>
      <c r="B4" s="27"/>
      <c r="C4" s="27"/>
      <c r="D4" s="27"/>
      <c r="E4" s="27"/>
      <c r="F4" s="3"/>
      <c r="G4" s="27"/>
      <c r="H4" s="27"/>
      <c r="I4" s="27"/>
      <c r="J4" s="27"/>
    </row>
    <row r="5" spans="1:10" ht="13.5" x14ac:dyDescent="0.35">
      <c r="A5" s="5"/>
      <c r="B5" s="5"/>
      <c r="C5" s="4"/>
      <c r="D5" s="4"/>
      <c r="E5" s="4"/>
      <c r="F5" s="3"/>
      <c r="G5" s="6"/>
      <c r="H5" s="4"/>
      <c r="I5" s="4"/>
      <c r="J5" s="4"/>
    </row>
    <row r="6" spans="1:10" ht="13.5" x14ac:dyDescent="0.35">
      <c r="A6" s="6"/>
      <c r="B6" s="27" t="str">
        <f>CONCATENATE("______________________ ",IF(Source!AL12&lt;&gt;"",Source!AL12,""))</f>
        <v xml:space="preserve">______________________ </v>
      </c>
      <c r="C6" s="27"/>
      <c r="D6" s="27"/>
      <c r="E6" s="27"/>
      <c r="F6" s="3"/>
      <c r="G6" s="27" t="str">
        <f>CONCATENATE("______________________ ",IF(Source!AH12&lt;&gt;"",Source!AH12,""))</f>
        <v xml:space="preserve">______________________ </v>
      </c>
      <c r="H6" s="27"/>
      <c r="I6" s="27"/>
      <c r="J6" s="27"/>
    </row>
    <row r="7" spans="1:10" ht="15.75" customHeight="1" x14ac:dyDescent="0.35">
      <c r="A7" s="7"/>
      <c r="B7" s="28" t="s">
        <v>3</v>
      </c>
      <c r="C7" s="28"/>
      <c r="D7" s="28"/>
      <c r="E7" s="28"/>
      <c r="F7" s="3"/>
      <c r="G7" s="28" t="s">
        <v>3</v>
      </c>
      <c r="H7" s="28"/>
      <c r="I7" s="28"/>
      <c r="J7" s="28"/>
    </row>
    <row r="9" spans="1:10" ht="13.5" x14ac:dyDescent="0.3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7.100000000000001" customHeight="1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35">
      <c r="A11" s="30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3.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7.100000000000001" customHeight="1" x14ac:dyDescent="0.4">
      <c r="A13" s="31" t="str">
        <f>CONCATENATE("ЛОКАЛЬНАЯ СМЕТА № ",IF(Source!F20&lt;&gt;"Новая локальная смета",Source!F20,""))</f>
        <v xml:space="preserve">ЛОКАЛЬНАЯ СМЕТА № 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4.75" customHeight="1" x14ac:dyDescent="0.35">
      <c r="A14" s="32" t="s">
        <v>5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3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9.350000000000001" customHeight="1" x14ac:dyDescent="0.5">
      <c r="A16" s="33" t="s">
        <v>447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3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9.350000000000001" customHeight="1" x14ac:dyDescent="0.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x14ac:dyDescent="0.35">
      <c r="A19" s="35" t="s">
        <v>6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3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35">
      <c r="A21" s="28" t="str">
        <f>CONCATENATE("Основание: чертежи № ",Source!J20)</f>
        <v xml:space="preserve">Основание: чертежи № 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3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x14ac:dyDescent="0.35">
      <c r="A23" s="3"/>
      <c r="B23" s="3"/>
      <c r="C23" s="3"/>
      <c r="D23" s="3"/>
      <c r="E23" s="3"/>
      <c r="F23" s="3"/>
      <c r="G23" s="3"/>
      <c r="H23" s="8" t="s">
        <v>7</v>
      </c>
      <c r="I23" s="8" t="s">
        <v>8</v>
      </c>
      <c r="J23" s="3"/>
    </row>
    <row r="24" spans="1:10" ht="13.5" x14ac:dyDescent="0.35">
      <c r="A24" s="3"/>
      <c r="B24" s="3"/>
      <c r="C24" s="3"/>
      <c r="D24" s="3"/>
      <c r="E24" s="3"/>
      <c r="F24" s="3"/>
      <c r="G24" s="3"/>
      <c r="H24" s="8" t="s">
        <v>9</v>
      </c>
      <c r="I24" s="8" t="s">
        <v>9</v>
      </c>
      <c r="J24" s="3"/>
    </row>
    <row r="25" spans="1:10" ht="13.5" x14ac:dyDescent="0.35">
      <c r="A25" s="3"/>
      <c r="B25" s="3"/>
      <c r="C25" s="3"/>
      <c r="D25" s="3"/>
      <c r="E25" s="27" t="s">
        <v>10</v>
      </c>
      <c r="F25" s="27"/>
      <c r="G25" s="27"/>
      <c r="H25" s="9">
        <f>SUM(O32:O197)/1000</f>
        <v>251.93517</v>
      </c>
      <c r="I25" s="9">
        <f>(Source!F147)/1000</f>
        <v>2115.6887000000002</v>
      </c>
      <c r="J25" s="3" t="s">
        <v>11</v>
      </c>
    </row>
    <row r="26" spans="1:10" ht="13.5" x14ac:dyDescent="0.35">
      <c r="A26" s="3"/>
      <c r="B26" s="3"/>
      <c r="C26" s="3"/>
      <c r="D26" s="3"/>
      <c r="E26" s="27" t="s">
        <v>12</v>
      </c>
      <c r="F26" s="27"/>
      <c r="G26" s="27"/>
      <c r="H26" s="9">
        <f>Source!F142+Source!F143</f>
        <v>1222.6964710699999</v>
      </c>
      <c r="I26" s="9">
        <f>Source!F142+Source!F143</f>
        <v>1222.6964710699999</v>
      </c>
      <c r="J26" s="3" t="s">
        <v>13</v>
      </c>
    </row>
    <row r="27" spans="1:10" ht="13.5" x14ac:dyDescent="0.35">
      <c r="A27" s="3"/>
      <c r="B27" s="3"/>
      <c r="C27" s="3"/>
      <c r="D27" s="3"/>
      <c r="E27" s="27" t="s">
        <v>14</v>
      </c>
      <c r="F27" s="27"/>
      <c r="G27" s="27"/>
      <c r="H27" s="9">
        <f>SUM(Q32:Q197)/1000</f>
        <v>11.900670000000002</v>
      </c>
      <c r="I27" s="9">
        <f>((Source!F134+Source!F135)/1000)</f>
        <v>285.84267</v>
      </c>
      <c r="J27" s="3" t="s">
        <v>11</v>
      </c>
    </row>
    <row r="28" spans="1:10" ht="13.5" x14ac:dyDescent="0.35">
      <c r="A28" s="3"/>
      <c r="B28" s="3"/>
      <c r="C28" s="3"/>
      <c r="D28" s="3"/>
      <c r="E28" s="3"/>
      <c r="F28" s="3"/>
      <c r="G28" s="3"/>
      <c r="H28" s="10"/>
      <c r="I28" s="9"/>
      <c r="J28" s="3"/>
    </row>
    <row r="29" spans="1:10" ht="13.5" x14ac:dyDescent="0.35">
      <c r="A29" s="3" t="s">
        <v>15</v>
      </c>
      <c r="B29" s="3"/>
      <c r="C29" s="3"/>
      <c r="D29" s="11"/>
      <c r="E29" s="12"/>
      <c r="F29" s="3"/>
      <c r="G29" s="3"/>
      <c r="H29" s="3"/>
      <c r="I29" s="3"/>
      <c r="J29" s="3"/>
    </row>
    <row r="30" spans="1:10" ht="67.5" x14ac:dyDescent="0.35">
      <c r="A30" s="13" t="s">
        <v>16</v>
      </c>
      <c r="B30" s="13" t="s">
        <v>17</v>
      </c>
      <c r="C30" s="13" t="s">
        <v>18</v>
      </c>
      <c r="D30" s="13" t="s">
        <v>19</v>
      </c>
      <c r="E30" s="13" t="s">
        <v>20</v>
      </c>
      <c r="F30" s="13" t="s">
        <v>21</v>
      </c>
      <c r="G30" s="14" t="s">
        <v>22</v>
      </c>
      <c r="H30" s="13" t="s">
        <v>23</v>
      </c>
      <c r="I30" s="13" t="s">
        <v>24</v>
      </c>
      <c r="J30" s="13" t="s">
        <v>25</v>
      </c>
    </row>
    <row r="31" spans="1:10" ht="13.5" x14ac:dyDescent="0.35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13">
        <v>8</v>
      </c>
      <c r="I31" s="13">
        <v>9</v>
      </c>
      <c r="J31" s="13">
        <v>10</v>
      </c>
    </row>
    <row r="33" spans="1:21" ht="18.2" customHeight="1" x14ac:dyDescent="0.35">
      <c r="A33" s="36" t="str">
        <f>CONCATENATE("Раздел: ",IF(Source!G24&lt;&gt;"Новый раздел",Source!G24,""))</f>
        <v>Раздел: Строительные работы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21" ht="40.5" x14ac:dyDescent="0.35">
      <c r="A34" s="15" t="str">
        <f>IF(Source!E28&lt;&gt;"",Source!E28,"")</f>
        <v>1</v>
      </c>
      <c r="B34" s="15" t="s">
        <v>26</v>
      </c>
      <c r="C34" s="15" t="str">
        <f>IF(Source!G28&lt;&gt;"",Source!G28,"")</f>
        <v>Разработка грунта с погрузкой на автомобили-самосвалы экскаваторами с ковшом вместимостью 0,65 (0,5-1) м3, группа грунтов 1</v>
      </c>
      <c r="D34" s="16" t="str">
        <f>IF(Source!H28&lt;&gt;"",Source!H28,"")</f>
        <v>1000 м3 грунта</v>
      </c>
      <c r="E34" s="16">
        <f>Source!I28</f>
        <v>0.17319999999999999</v>
      </c>
      <c r="F34" s="17"/>
      <c r="G34" s="16"/>
      <c r="H34" s="18"/>
      <c r="I34" s="16" t="str">
        <f>IF(Source!BO28&lt;&gt;"",Source!BO28,"")</f>
        <v>01-01-013-7</v>
      </c>
      <c r="J34" s="18"/>
      <c r="R34">
        <f>ROUND((Source!FX28/100)*((ROUND(Source!AF28*Source!I28,2)+ROUND(Source!AE28*Source!I28,2))),2)</f>
        <v>79.569999999999993</v>
      </c>
      <c r="S34">
        <f>Source!X28</f>
        <v>1679.48</v>
      </c>
      <c r="T34">
        <f>ROUND((Source!FY28/100)*((ROUND(Source!AF28*Source!I28,2)+ROUND(Source!AE28*Source!I28,2))),2)</f>
        <v>39.549999999999997</v>
      </c>
      <c r="U34">
        <f>Source!Y28</f>
        <v>782.22</v>
      </c>
    </row>
    <row r="35" spans="1:21" ht="13.5" x14ac:dyDescent="0.35">
      <c r="A35" s="15"/>
      <c r="B35" s="15"/>
      <c r="C35" s="15" t="s">
        <v>27</v>
      </c>
      <c r="D35" s="16"/>
      <c r="E35" s="16"/>
      <c r="F35" s="17">
        <f>Source!AO28</f>
        <v>72.38</v>
      </c>
      <c r="G35" s="16" t="str">
        <f>IF(Source!DG28&lt;&gt;"",Source!DG28," ")</f>
        <v>)*1,15</v>
      </c>
      <c r="H35" s="18">
        <f>ROUND(Source!AF28*Source!I28,2)</f>
        <v>14.42</v>
      </c>
      <c r="I35" s="16">
        <f>IF(Source!BA28&lt;&gt;0,Source!BA28,1)</f>
        <v>24.72</v>
      </c>
      <c r="J35" s="18">
        <f>Source!S28</f>
        <v>356.38</v>
      </c>
      <c r="Q35">
        <f>H35</f>
        <v>14.42</v>
      </c>
    </row>
    <row r="36" spans="1:21" ht="13.5" x14ac:dyDescent="0.35">
      <c r="A36" s="15"/>
      <c r="B36" s="15"/>
      <c r="C36" s="15" t="s">
        <v>28</v>
      </c>
      <c r="D36" s="16"/>
      <c r="E36" s="16"/>
      <c r="F36" s="17">
        <f>Source!AM28</f>
        <v>3091.08</v>
      </c>
      <c r="G36" s="16" t="str">
        <f>IF(Source!DE28&lt;&gt;"",Source!DE28," ")</f>
        <v>)*1,25</v>
      </c>
      <c r="H36" s="18">
        <f>ROUND(Source!AD28*Source!I28,2)</f>
        <v>669.22</v>
      </c>
      <c r="I36" s="16">
        <f>IF(Source!BB28&lt;&gt;0,Source!BB28,1)</f>
        <v>7.84</v>
      </c>
      <c r="J36" s="18">
        <f>Source!Q28</f>
        <v>5246.68</v>
      </c>
    </row>
    <row r="37" spans="1:21" ht="13.9" x14ac:dyDescent="0.4">
      <c r="A37" s="15"/>
      <c r="B37" s="15"/>
      <c r="C37" s="15" t="s">
        <v>29</v>
      </c>
      <c r="D37" s="16"/>
      <c r="E37" s="16"/>
      <c r="F37" s="17">
        <f>Source!AN28</f>
        <v>363.29</v>
      </c>
      <c r="G37" s="16" t="str">
        <f>IF(Source!DF28&lt;&gt;"",Source!DF28," ")</f>
        <v>)*1,25</v>
      </c>
      <c r="H37" s="19">
        <f>ROUND(Source!AE28*Source!I28,2)</f>
        <v>78.650000000000006</v>
      </c>
      <c r="I37" s="16">
        <f>IF(Source!BS28&lt;&gt;0,Source!BS28,1)</f>
        <v>24.72</v>
      </c>
      <c r="J37" s="19">
        <f>Source!R28</f>
        <v>1944.28</v>
      </c>
      <c r="Q37">
        <f>H37</f>
        <v>78.650000000000006</v>
      </c>
    </row>
    <row r="38" spans="1:21" ht="13.5" x14ac:dyDescent="0.35">
      <c r="A38" s="15"/>
      <c r="B38" s="15"/>
      <c r="C38" s="15" t="s">
        <v>30</v>
      </c>
      <c r="D38" s="16"/>
      <c r="E38" s="16"/>
      <c r="F38" s="17">
        <f>Source!AL28</f>
        <v>3.25</v>
      </c>
      <c r="G38" s="16" t="str">
        <f>IF(Source!DD28&lt;&gt;"",Source!DD28," ")</f>
        <v xml:space="preserve"> </v>
      </c>
      <c r="H38" s="18">
        <f>ROUND(Source!AC28*Source!I28,2)</f>
        <v>0.56000000000000005</v>
      </c>
      <c r="I38" s="16">
        <f>IF(Source!BC28&lt;&gt;0,Source!BC28,1)</f>
        <v>12.53</v>
      </c>
      <c r="J38" s="18">
        <f>Source!P28</f>
        <v>7.05</v>
      </c>
    </row>
    <row r="39" spans="1:21" ht="15.75" customHeight="1" x14ac:dyDescent="0.35">
      <c r="A39" s="15"/>
      <c r="B39" s="15"/>
      <c r="C39" s="15" t="str">
        <f>CONCATENATE("НР от ФОТ [к тек. уровню ",Source!FV28,"]")</f>
        <v>НР от ФОТ [к тек. уровню *0,85]</v>
      </c>
      <c r="D39" s="16" t="s">
        <v>31</v>
      </c>
      <c r="E39" s="16">
        <f>Source!BZ28</f>
        <v>95</v>
      </c>
      <c r="F39" s="37" t="str">
        <f>CONCATENATE(" )",Source!DL28,Source!FT28,"=",Source!FX28,"%")</f>
        <v xml:space="preserve"> )*0,9=85,5%</v>
      </c>
      <c r="G39" s="37"/>
      <c r="H39" s="18">
        <f>SUM(R34:R39)</f>
        <v>79.569999999999993</v>
      </c>
      <c r="I39" s="16">
        <f>Source!AT28</f>
        <v>73</v>
      </c>
      <c r="J39" s="18">
        <f>SUM(S34:S39)</f>
        <v>1679.48</v>
      </c>
    </row>
    <row r="40" spans="1:21" ht="15.75" customHeight="1" x14ac:dyDescent="0.35">
      <c r="A40" s="15"/>
      <c r="B40" s="15"/>
      <c r="C40" s="15" t="str">
        <f>CONCATENATE("СП от ФОТ [к тек. уровню ",Source!FW28,"]")</f>
        <v>СП от ФОТ [к тек. уровню *0,8]</v>
      </c>
      <c r="D40" s="16" t="s">
        <v>31</v>
      </c>
      <c r="E40" s="16">
        <f>Source!CA28</f>
        <v>50</v>
      </c>
      <c r="F40" s="37" t="str">
        <f>CONCATENATE(" )",Source!DM28,Source!FU28,"=",Source!FY28,"%")</f>
        <v xml:space="preserve"> )*0,85=42,5%</v>
      </c>
      <c r="G40" s="37"/>
      <c r="H40" s="18">
        <f>SUM(T34:T40)</f>
        <v>39.549999999999997</v>
      </c>
      <c r="I40" s="16">
        <f>Source!AU28</f>
        <v>34</v>
      </c>
      <c r="J40" s="18">
        <f>SUM(U34:U40)</f>
        <v>782.22</v>
      </c>
    </row>
    <row r="41" spans="1:21" ht="13.5" x14ac:dyDescent="0.35">
      <c r="A41" s="20"/>
      <c r="B41" s="20"/>
      <c r="C41" s="20" t="s">
        <v>32</v>
      </c>
      <c r="D41" s="21" t="s">
        <v>33</v>
      </c>
      <c r="E41" s="21">
        <f>Source!AQ28</f>
        <v>9.2799999999999994</v>
      </c>
      <c r="F41" s="22"/>
      <c r="G41" s="21" t="str">
        <f>IF(Source!DI28&lt;&gt;"",Source!DI28," ")</f>
        <v>)*1,15</v>
      </c>
      <c r="H41" s="23">
        <f>Source!U28</f>
        <v>1.8483903999999998</v>
      </c>
      <c r="I41" s="21"/>
      <c r="J41" s="23"/>
    </row>
    <row r="42" spans="1:21" ht="13.9" x14ac:dyDescent="0.35">
      <c r="A42" s="24"/>
      <c r="B42" s="24"/>
      <c r="C42" s="24" t="s">
        <v>34</v>
      </c>
      <c r="D42" s="24"/>
      <c r="E42" s="24"/>
      <c r="F42" s="24"/>
      <c r="G42" s="38">
        <f>ROUND(Source!AC28*Source!I28,2)+ROUND(Source!AF28*Source!I28,2)+ROUND(Source!AD28*Source!I28,2)+SUM(H39:H40)</f>
        <v>803.32</v>
      </c>
      <c r="H42" s="38"/>
      <c r="I42" s="38">
        <f>Source!CQ28*Source!I28+Source!CT28*Source!I28+Source!CR28*Source!I28+SUM(J39:J40)</f>
        <v>8071.8082342479993</v>
      </c>
      <c r="J42" s="38"/>
      <c r="O42">
        <f>G42</f>
        <v>803.32</v>
      </c>
      <c r="P42">
        <f>I42</f>
        <v>8071.8082342479993</v>
      </c>
    </row>
    <row r="43" spans="1:21" ht="40.5" x14ac:dyDescent="0.35">
      <c r="A43" s="15" t="str">
        <f>IF(Source!E29&lt;&gt;"",Source!E29,"")</f>
        <v>2</v>
      </c>
      <c r="B43" s="15" t="str">
        <f>IF(Source!F29&lt;&gt;"",Source!F29,"")</f>
        <v>т03-21-01-030</v>
      </c>
      <c r="C43" s="15" t="str">
        <f>IF(Source!G29&lt;&gt;"",Source!G29,"")</f>
        <v>Перевозка грузов I класса автомобилями-самосвалами грузоподъемностью 10 т работающих вне карьера на расстояние до 30 км</v>
      </c>
      <c r="D43" s="16" t="str">
        <f>IF(Source!H29&lt;&gt;"",Source!H29,"")</f>
        <v>1 Т ГРУЗА</v>
      </c>
      <c r="E43" s="16">
        <f>Source!I29</f>
        <v>311.76</v>
      </c>
      <c r="F43" s="17"/>
      <c r="G43" s="16"/>
      <c r="H43" s="18"/>
      <c r="I43" s="16" t="str">
        <f>IF(Source!BO29&lt;&gt;"",Source!BO29,"")</f>
        <v/>
      </c>
      <c r="J43" s="18"/>
      <c r="R43">
        <f>ROUND((Source!FX29/100)*((ROUND(Source!AF29*Source!I29,2)+ROUND(Source!AE29*Source!I29,2))),2)</f>
        <v>0</v>
      </c>
      <c r="S43">
        <f>Source!X29</f>
        <v>0</v>
      </c>
      <c r="T43">
        <f>ROUND((Source!FY29/100)*((ROUND(Source!AF29*Source!I29,2)+ROUND(Source!AE29*Source!I29,2))),2)</f>
        <v>0</v>
      </c>
      <c r="U43">
        <f>Source!Y29</f>
        <v>0</v>
      </c>
    </row>
    <row r="44" spans="1:21" ht="13.5" x14ac:dyDescent="0.35">
      <c r="A44" s="20"/>
      <c r="B44" s="20"/>
      <c r="C44" s="20" t="s">
        <v>28</v>
      </c>
      <c r="D44" s="21"/>
      <c r="E44" s="21"/>
      <c r="F44" s="22">
        <f>Source!AM29</f>
        <v>19.29</v>
      </c>
      <c r="G44" s="21" t="str">
        <f>IF(Source!DE29&lt;&gt;"",Source!DE29," ")</f>
        <v xml:space="preserve"> </v>
      </c>
      <c r="H44" s="23">
        <f>ROUND(Source!AD29*Source!I29,2)</f>
        <v>6013.85</v>
      </c>
      <c r="I44" s="21">
        <f>IF(Source!BB29&lt;&gt;0,Source!BB29,1)</f>
        <v>7.48</v>
      </c>
      <c r="J44" s="23">
        <f>Source!Q29</f>
        <v>44983.6</v>
      </c>
    </row>
    <row r="45" spans="1:21" ht="13.9" x14ac:dyDescent="0.35">
      <c r="A45" s="24"/>
      <c r="B45" s="24"/>
      <c r="C45" s="24" t="s">
        <v>34</v>
      </c>
      <c r="D45" s="24"/>
      <c r="E45" s="24"/>
      <c r="F45" s="24"/>
      <c r="G45" s="38">
        <f>ROUND(Source!AC29*Source!I29,2)+ROUND(Source!AF29*Source!I29,2)+ROUND(Source!AD29*Source!I29,2)</f>
        <v>6013.85</v>
      </c>
      <c r="H45" s="38"/>
      <c r="I45" s="38">
        <f>Source!CQ29*Source!I29+Source!CT29*Source!I29+Source!CR29*Source!I29</f>
        <v>44983.600992</v>
      </c>
      <c r="J45" s="38"/>
      <c r="O45">
        <f>G45</f>
        <v>6013.85</v>
      </c>
      <c r="P45">
        <f>I45</f>
        <v>44983.600992</v>
      </c>
    </row>
    <row r="46" spans="1:21" ht="39" x14ac:dyDescent="0.35">
      <c r="A46" s="15" t="str">
        <f>IF(Source!E30&lt;&gt;"",Source!E30,"")</f>
        <v>3</v>
      </c>
      <c r="B46" s="15" t="s">
        <v>35</v>
      </c>
      <c r="C46" s="15" t="str">
        <f>IF(Source!G30&lt;&gt;"",Source!G30,"")</f>
        <v>Устройство дренажей поперечных с односторонним выпуском</v>
      </c>
      <c r="D46" s="16" t="str">
        <f>IF(Source!H30&lt;&gt;"",Source!H30,"")</f>
        <v>100 м дренажа</v>
      </c>
      <c r="E46" s="16">
        <f>Source!I30</f>
        <v>0.29499999999999998</v>
      </c>
      <c r="F46" s="17"/>
      <c r="G46" s="16"/>
      <c r="H46" s="18"/>
      <c r="I46" s="16" t="str">
        <f>IF(Source!BO30&lt;&gt;"",Source!BO30,"")</f>
        <v>27-02-001-3</v>
      </c>
      <c r="J46" s="18"/>
      <c r="R46">
        <f>ROUND((Source!FX30/100)*((ROUND(Source!AF30*Source!I30,2)+ROUND(Source!AE30*Source!I30,2))),2)</f>
        <v>162.69999999999999</v>
      </c>
      <c r="S46">
        <f>Source!X30</f>
        <v>3430.4</v>
      </c>
      <c r="T46">
        <f>ROUND((Source!FY30/100)*((ROUND(Source!AF30*Source!I30,2)+ROUND(Source!AE30*Source!I30,2))),2)</f>
        <v>102.8</v>
      </c>
      <c r="U46">
        <f>Source!Y30</f>
        <v>2045.65</v>
      </c>
    </row>
    <row r="47" spans="1:21" ht="13.5" x14ac:dyDescent="0.35">
      <c r="A47" s="15"/>
      <c r="B47" s="15"/>
      <c r="C47" s="15" t="s">
        <v>27</v>
      </c>
      <c r="D47" s="16"/>
      <c r="E47" s="16"/>
      <c r="F47" s="17">
        <f>Source!AO30</f>
        <v>323.08999999999997</v>
      </c>
      <c r="G47" s="16" t="str">
        <f>IF(Source!DG30&lt;&gt;"",Source!DG30," ")</f>
        <v>)*1,15</v>
      </c>
      <c r="H47" s="18">
        <f>ROUND(Source!AF30*Source!I30,2)</f>
        <v>109.61</v>
      </c>
      <c r="I47" s="16">
        <f>IF(Source!BA30&lt;&gt;0,Source!BA30,1)</f>
        <v>24.72</v>
      </c>
      <c r="J47" s="18">
        <f>Source!S30</f>
        <v>2709.52</v>
      </c>
      <c r="Q47">
        <f>H47</f>
        <v>109.61</v>
      </c>
    </row>
    <row r="48" spans="1:21" ht="13.5" x14ac:dyDescent="0.35">
      <c r="A48" s="15"/>
      <c r="B48" s="15"/>
      <c r="C48" s="15" t="s">
        <v>28</v>
      </c>
      <c r="D48" s="16"/>
      <c r="E48" s="16"/>
      <c r="F48" s="17">
        <f>Source!AM30</f>
        <v>188.57</v>
      </c>
      <c r="G48" s="16" t="str">
        <f>IF(Source!DE30&lt;&gt;"",Source!DE30," ")</f>
        <v>)*1,25</v>
      </c>
      <c r="H48" s="18">
        <f>ROUND(Source!AD30*Source!I30,2)</f>
        <v>69.540000000000006</v>
      </c>
      <c r="I48" s="16">
        <f>IF(Source!BB30&lt;&gt;0,Source!BB30,1)</f>
        <v>9.68</v>
      </c>
      <c r="J48" s="18">
        <f>Source!Q30</f>
        <v>673.1</v>
      </c>
    </row>
    <row r="49" spans="1:21" ht="13.9" x14ac:dyDescent="0.4">
      <c r="A49" s="15"/>
      <c r="B49" s="15"/>
      <c r="C49" s="15" t="s">
        <v>29</v>
      </c>
      <c r="D49" s="16"/>
      <c r="E49" s="16"/>
      <c r="F49" s="17">
        <f>Source!AN30</f>
        <v>48.01</v>
      </c>
      <c r="G49" s="16" t="str">
        <f>IF(Source!DF30&lt;&gt;"",Source!DF30," ")</f>
        <v>)*1,25</v>
      </c>
      <c r="H49" s="19">
        <f>ROUND(Source!AE30*Source!I30,2)</f>
        <v>17.7</v>
      </c>
      <c r="I49" s="16">
        <f>IF(Source!BS30&lt;&gt;0,Source!BS30,1)</f>
        <v>24.72</v>
      </c>
      <c r="J49" s="19">
        <f>Source!R30</f>
        <v>437.64</v>
      </c>
      <c r="Q49">
        <f>H49</f>
        <v>17.7</v>
      </c>
    </row>
    <row r="50" spans="1:21" ht="13.5" x14ac:dyDescent="0.35">
      <c r="A50" s="15"/>
      <c r="B50" s="15"/>
      <c r="C50" s="15" t="s">
        <v>30</v>
      </c>
      <c r="D50" s="16"/>
      <c r="E50" s="16"/>
      <c r="F50" s="17">
        <f>Source!AL30</f>
        <v>3140.64</v>
      </c>
      <c r="G50" s="16" t="str">
        <f>IF(Source!DD30&lt;&gt;"",Source!DD30," ")</f>
        <v xml:space="preserve"> </v>
      </c>
      <c r="H50" s="18">
        <f>ROUND(Source!AC30*Source!I30,2)</f>
        <v>926.49</v>
      </c>
      <c r="I50" s="16">
        <f>IF(Source!BC30&lt;&gt;0,Source!BC30,1)</f>
        <v>8.39</v>
      </c>
      <c r="J50" s="18">
        <f>Source!P30</f>
        <v>7773.24</v>
      </c>
    </row>
    <row r="51" spans="1:21" ht="15.75" customHeight="1" x14ac:dyDescent="0.35">
      <c r="A51" s="15"/>
      <c r="B51" s="15"/>
      <c r="C51" s="15" t="str">
        <f>CONCATENATE("НР от ФОТ [к тек. уровню ",Source!FV30,"]")</f>
        <v>НР от ФОТ [к тек. уровню *0,85]</v>
      </c>
      <c r="D51" s="16" t="s">
        <v>31</v>
      </c>
      <c r="E51" s="16">
        <f>Source!BZ30</f>
        <v>142</v>
      </c>
      <c r="F51" s="37" t="str">
        <f>CONCATENATE(" )",Source!DL30,Source!FT30,"=",Source!FX30,"%")</f>
        <v xml:space="preserve"> )*0,9=127,8%</v>
      </c>
      <c r="G51" s="37"/>
      <c r="H51" s="18">
        <f>SUM(R46:R51)</f>
        <v>162.69999999999999</v>
      </c>
      <c r="I51" s="16">
        <f>Source!AT30</f>
        <v>109</v>
      </c>
      <c r="J51" s="18">
        <f>SUM(S46:S51)</f>
        <v>3430.4</v>
      </c>
    </row>
    <row r="52" spans="1:21" ht="15.75" customHeight="1" x14ac:dyDescent="0.35">
      <c r="A52" s="15"/>
      <c r="B52" s="15"/>
      <c r="C52" s="15" t="str">
        <f>CONCATENATE("СП от ФОТ [к тек. уровню ",Source!FW30,"]")</f>
        <v>СП от ФОТ [к тек. уровню *0,8]</v>
      </c>
      <c r="D52" s="16" t="s">
        <v>31</v>
      </c>
      <c r="E52" s="16">
        <f>Source!CA30</f>
        <v>95</v>
      </c>
      <c r="F52" s="37" t="str">
        <f>CONCATENATE(" )",Source!DM30,Source!FU30,"=",Source!FY30,"%")</f>
        <v xml:space="preserve"> )*0,85=80,75%</v>
      </c>
      <c r="G52" s="37"/>
      <c r="H52" s="18">
        <f>SUM(T46:T52)</f>
        <v>102.8</v>
      </c>
      <c r="I52" s="16">
        <f>Source!AU30</f>
        <v>65</v>
      </c>
      <c r="J52" s="18">
        <f>SUM(U46:U52)</f>
        <v>2045.65</v>
      </c>
    </row>
    <row r="53" spans="1:21" ht="13.5" x14ac:dyDescent="0.35">
      <c r="A53" s="20"/>
      <c r="B53" s="20"/>
      <c r="C53" s="20" t="s">
        <v>32</v>
      </c>
      <c r="D53" s="21" t="s">
        <v>33</v>
      </c>
      <c r="E53" s="21">
        <f>Source!AQ30</f>
        <v>38.880000000000003</v>
      </c>
      <c r="F53" s="22"/>
      <c r="G53" s="21" t="str">
        <f>IF(Source!DI30&lt;&gt;"",Source!DI30," ")</f>
        <v>)*1,15</v>
      </c>
      <c r="H53" s="23">
        <f>Source!U30</f>
        <v>13.190039999999998</v>
      </c>
      <c r="I53" s="21"/>
      <c r="J53" s="23"/>
    </row>
    <row r="54" spans="1:21" ht="13.9" x14ac:dyDescent="0.35">
      <c r="A54" s="24"/>
      <c r="B54" s="24"/>
      <c r="C54" s="24" t="s">
        <v>34</v>
      </c>
      <c r="D54" s="24"/>
      <c r="E54" s="24"/>
      <c r="F54" s="24"/>
      <c r="G54" s="38">
        <f>ROUND(Source!AC30*Source!I30,2)+ROUND(Source!AF30*Source!I30,2)+ROUND(Source!AD30*Source!I30,2)+SUM(H51:H52)</f>
        <v>1371.1399999999999</v>
      </c>
      <c r="H54" s="38"/>
      <c r="I54" s="38">
        <f>Source!CQ30*Source!I30+Source!CT30*Source!I30+Source!CR30*Source!I30+SUM(J51:J52)</f>
        <v>16631.9083904</v>
      </c>
      <c r="J54" s="38"/>
      <c r="O54">
        <f>G54</f>
        <v>1371.1399999999999</v>
      </c>
      <c r="P54">
        <f>I54</f>
        <v>16631.9083904</v>
      </c>
    </row>
    <row r="55" spans="1:21" ht="54" x14ac:dyDescent="0.35">
      <c r="A55" s="15" t="str">
        <f>IF(Source!E31&lt;&gt;"",Source!E31,"")</f>
        <v>4</v>
      </c>
      <c r="B55" s="15" t="s">
        <v>36</v>
      </c>
      <c r="C55" s="15" t="str">
        <f>IF(Source!G31&lt;&gt;"",Source!G31,"")</f>
        <v>Укладка плит покрытия</v>
      </c>
      <c r="D55" s="16" t="str">
        <f>IF(Source!H31&lt;&gt;"",Source!H31,"")</f>
        <v>100 шт. сборных конструкций</v>
      </c>
      <c r="E55" s="16">
        <f>Source!I31</f>
        <v>0.16</v>
      </c>
      <c r="F55" s="17"/>
      <c r="G55" s="16"/>
      <c r="H55" s="18"/>
      <c r="I55" s="16" t="str">
        <f>IF(Source!BO31&lt;&gt;"",Source!BO31,"")</f>
        <v>07-02-003-8</v>
      </c>
      <c r="J55" s="18"/>
      <c r="R55">
        <f>ROUND((Source!FX31/100)*((ROUND(Source!AF31*Source!I31,2)+ROUND(Source!AE31*Source!I31,2))),2)</f>
        <v>479.58</v>
      </c>
      <c r="S55">
        <f>Source!X31</f>
        <v>10031.34</v>
      </c>
      <c r="T55">
        <f>ROUND((Source!FY31/100)*((ROUND(Source!AF31*Source!I31,2)+ROUND(Source!AE31*Source!I31,2))),2)</f>
        <v>296.14999999999998</v>
      </c>
      <c r="U55">
        <f>Source!Y31</f>
        <v>5876.95</v>
      </c>
    </row>
    <row r="56" spans="1:21" ht="13.5" x14ac:dyDescent="0.35">
      <c r="A56" s="15"/>
      <c r="B56" s="15"/>
      <c r="C56" s="15" t="s">
        <v>27</v>
      </c>
      <c r="D56" s="16"/>
      <c r="E56" s="16"/>
      <c r="F56" s="17">
        <f>Source!AO31</f>
        <v>1897.39</v>
      </c>
      <c r="G56" s="16" t="str">
        <f>IF(Source!DG31&lt;&gt;"",Source!DG31," ")</f>
        <v>)*1,15</v>
      </c>
      <c r="H56" s="18">
        <f>ROUND(Source!AF31*Source!I31,2)</f>
        <v>349.12</v>
      </c>
      <c r="I56" s="16">
        <f>IF(Source!BA31&lt;&gt;0,Source!BA31,1)</f>
        <v>24.72</v>
      </c>
      <c r="J56" s="18">
        <f>Source!S31</f>
        <v>8630.24</v>
      </c>
      <c r="Q56">
        <f>H56</f>
        <v>349.12</v>
      </c>
    </row>
    <row r="57" spans="1:21" ht="13.5" x14ac:dyDescent="0.35">
      <c r="A57" s="15"/>
      <c r="B57" s="15"/>
      <c r="C57" s="15" t="s">
        <v>28</v>
      </c>
      <c r="D57" s="16"/>
      <c r="E57" s="16"/>
      <c r="F57" s="17">
        <f>Source!AM31</f>
        <v>3223.89</v>
      </c>
      <c r="G57" s="16" t="str">
        <f>IF(Source!DE31&lt;&gt;"",Source!DE31," ")</f>
        <v>)*1,25</v>
      </c>
      <c r="H57" s="18">
        <f>ROUND(Source!AD31*Source!I31,2)</f>
        <v>644.78</v>
      </c>
      <c r="I57" s="16">
        <f>IF(Source!BB31&lt;&gt;0,Source!BB31,1)</f>
        <v>7.95</v>
      </c>
      <c r="J57" s="18">
        <f>Source!Q31</f>
        <v>5125.99</v>
      </c>
    </row>
    <row r="58" spans="1:21" ht="13.9" x14ac:dyDescent="0.4">
      <c r="A58" s="15"/>
      <c r="B58" s="15"/>
      <c r="C58" s="15" t="s">
        <v>29</v>
      </c>
      <c r="D58" s="16"/>
      <c r="E58" s="16"/>
      <c r="F58" s="17">
        <f>Source!AN31</f>
        <v>303.89</v>
      </c>
      <c r="G58" s="16" t="str">
        <f>IF(Source!DF31&lt;&gt;"",Source!DF31," ")</f>
        <v>)*1,25</v>
      </c>
      <c r="H58" s="19">
        <f>ROUND(Source!AE31*Source!I31,2)</f>
        <v>60.78</v>
      </c>
      <c r="I58" s="16">
        <f>IF(Source!BS31&lt;&gt;0,Source!BS31,1)</f>
        <v>24.72</v>
      </c>
      <c r="J58" s="19">
        <f>Source!R31</f>
        <v>1502.43</v>
      </c>
      <c r="Q58">
        <f>H58</f>
        <v>60.78</v>
      </c>
    </row>
    <row r="59" spans="1:21" ht="13.5" x14ac:dyDescent="0.35">
      <c r="A59" s="15"/>
      <c r="B59" s="15"/>
      <c r="C59" s="15" t="s">
        <v>30</v>
      </c>
      <c r="D59" s="16"/>
      <c r="E59" s="16"/>
      <c r="F59" s="17">
        <f>Source!AL31</f>
        <v>8399.93</v>
      </c>
      <c r="G59" s="16" t="str">
        <f>IF(Source!DD31&lt;&gt;"",Source!DD31," ")</f>
        <v xml:space="preserve"> </v>
      </c>
      <c r="H59" s="18">
        <f>ROUND(Source!AC31*Source!I31,2)</f>
        <v>1343.99</v>
      </c>
      <c r="I59" s="16">
        <f>IF(Source!BC31&lt;&gt;0,Source!BC31,1)</f>
        <v>7.38</v>
      </c>
      <c r="J59" s="18">
        <f>Source!P31</f>
        <v>9918.64</v>
      </c>
    </row>
    <row r="60" spans="1:21" ht="40.5" x14ac:dyDescent="0.35">
      <c r="A60" s="15" t="str">
        <f>IF(Source!E32&lt;&gt;"",Source!E32,"")</f>
        <v>4,1</v>
      </c>
      <c r="B60" s="15" t="str">
        <f>IF(Source!F32&lt;&gt;"",Source!F32,"")</f>
        <v>403-5553</v>
      </c>
      <c r="C60" s="15" t="str">
        <f>IF(Source!G32&lt;&gt;"",Source!G32,"")</f>
        <v>Плиты дорожные 2П30.18.30 /бетон В22,5 (М300), объем 0,88 м3, расход арматуры 46,48 кг/ (ГОСТ 21924.2-84)</v>
      </c>
      <c r="D60" s="16" t="str">
        <f>IF(Source!H32&lt;&gt;"",Source!H32,"")</f>
        <v>шт.</v>
      </c>
      <c r="E60" s="16">
        <f>Source!I32</f>
        <v>16</v>
      </c>
      <c r="F60" s="17">
        <f>Source!AK32</f>
        <v>1358.15</v>
      </c>
      <c r="G60" s="16"/>
      <c r="H60" s="18">
        <f>ROUND(Source!AC32*Source!I32,2)+ROUND(Source!AD32*Source!I32,2)+ROUND(Source!AF32*Source!I32,2)</f>
        <v>21730.400000000001</v>
      </c>
      <c r="I60" s="16">
        <f>IF(Source!BC32&lt;&gt;0,Source!BC32,1)</f>
        <v>5.51</v>
      </c>
      <c r="J60" s="18">
        <f>Source!O32</f>
        <v>119734.5</v>
      </c>
      <c r="R60">
        <f>ROUND((Source!FX32/100)*((ROUND(Source!AF32*Source!I32,2)+ROUND(Source!AE32*Source!I32,2))),2)</f>
        <v>0</v>
      </c>
      <c r="S60">
        <f>Source!X32</f>
        <v>0</v>
      </c>
      <c r="T60">
        <f>ROUND((Source!FY32/100)*((ROUND(Source!AF32*Source!I32,2)+ROUND(Source!AE32*Source!I32,2))),2)</f>
        <v>0</v>
      </c>
      <c r="U60">
        <f>Source!Y32</f>
        <v>0</v>
      </c>
    </row>
    <row r="61" spans="1:21" ht="15.75" customHeight="1" x14ac:dyDescent="0.35">
      <c r="A61" s="15"/>
      <c r="B61" s="15"/>
      <c r="C61" s="15" t="str">
        <f>CONCATENATE("НР от ФОТ [к тек. уровню ",Source!FV31,"]")</f>
        <v>НР от ФОТ [к тек. уровню *0,85]</v>
      </c>
      <c r="D61" s="16" t="s">
        <v>31</v>
      </c>
      <c r="E61" s="16">
        <f>Source!BZ31</f>
        <v>130</v>
      </c>
      <c r="F61" s="37" t="str">
        <f>CONCATENATE(" )",Source!DL31,Source!FT31,"=",Source!FX31,"%")</f>
        <v xml:space="preserve"> )*0,9=117%</v>
      </c>
      <c r="G61" s="37"/>
      <c r="H61" s="18">
        <f>SUM(R55:R61)</f>
        <v>479.58</v>
      </c>
      <c r="I61" s="16">
        <f>Source!AT31</f>
        <v>99</v>
      </c>
      <c r="J61" s="18">
        <f>SUM(S55:S61)</f>
        <v>10031.34</v>
      </c>
    </row>
    <row r="62" spans="1:21" ht="15.75" customHeight="1" x14ac:dyDescent="0.35">
      <c r="A62" s="15"/>
      <c r="B62" s="15"/>
      <c r="C62" s="15" t="str">
        <f>CONCATENATE("СП от ФОТ [к тек. уровню ",Source!FW31,"]")</f>
        <v>СП от ФОТ [к тек. уровню *0,8]</v>
      </c>
      <c r="D62" s="16" t="s">
        <v>31</v>
      </c>
      <c r="E62" s="16">
        <f>Source!CA31</f>
        <v>85</v>
      </c>
      <c r="F62" s="37" t="str">
        <f>CONCATENATE(" )",Source!DM31,Source!FU31,"=",Source!FY31,"%")</f>
        <v xml:space="preserve"> )*0,85=72,25%</v>
      </c>
      <c r="G62" s="37"/>
      <c r="H62" s="18">
        <f>SUM(T55:T62)</f>
        <v>296.14999999999998</v>
      </c>
      <c r="I62" s="16">
        <f>Source!AU31</f>
        <v>58</v>
      </c>
      <c r="J62" s="18">
        <f>SUM(U55:U62)</f>
        <v>5876.95</v>
      </c>
    </row>
    <row r="63" spans="1:21" ht="13.5" x14ac:dyDescent="0.35">
      <c r="A63" s="20"/>
      <c r="B63" s="20"/>
      <c r="C63" s="20" t="s">
        <v>32</v>
      </c>
      <c r="D63" s="21" t="s">
        <v>33</v>
      </c>
      <c r="E63" s="21">
        <f>Source!AQ31</f>
        <v>204.24</v>
      </c>
      <c r="F63" s="22"/>
      <c r="G63" s="21" t="str">
        <f>IF(Source!DI31&lt;&gt;"",Source!DI31," ")</f>
        <v>)*1,15</v>
      </c>
      <c r="H63" s="23">
        <f>Source!U31</f>
        <v>37.580159999999999</v>
      </c>
      <c r="I63" s="21"/>
      <c r="J63" s="23"/>
    </row>
    <row r="64" spans="1:21" ht="13.9" x14ac:dyDescent="0.35">
      <c r="A64" s="24"/>
      <c r="B64" s="24"/>
      <c r="C64" s="24" t="s">
        <v>34</v>
      </c>
      <c r="D64" s="24"/>
      <c r="E64" s="24"/>
      <c r="F64" s="24"/>
      <c r="G64" s="38">
        <f>ROUND(Source!AC31*Source!I31,2)+ROUND(Source!AF31*Source!I31,2)+ROUND(Source!AD31*Source!I31,2)+SUM(H60:H62)</f>
        <v>24844.020000000004</v>
      </c>
      <c r="H64" s="38"/>
      <c r="I64" s="38">
        <f>Source!CQ31*Source!I31+Source!CT31*Source!I31+Source!CR31*Source!I31+SUM(J60:J62)</f>
        <v>159317.65291120001</v>
      </c>
      <c r="J64" s="38"/>
      <c r="O64">
        <f>G64</f>
        <v>24844.020000000004</v>
      </c>
      <c r="P64">
        <f>I64</f>
        <v>159317.65291120001</v>
      </c>
    </row>
    <row r="65" spans="1:21" ht="40.5" x14ac:dyDescent="0.35">
      <c r="A65" s="15" t="str">
        <f>IF(Source!E33&lt;&gt;"",Source!E33,"")</f>
        <v>5</v>
      </c>
      <c r="B65" s="15" t="str">
        <f>IF(Source!F33&lt;&gt;"",Source!F33,"")</f>
        <v>27-03-008-4</v>
      </c>
      <c r="C65" s="15" t="str">
        <f>IF(Source!G33&lt;&gt;"",Source!G33,"")</f>
        <v>Разборка покрытий и оснований асфальтобетонных</v>
      </c>
      <c r="D65" s="16" t="str">
        <f>IF(Source!H33&lt;&gt;"",Source!H33,"")</f>
        <v>100 м3 конструкций</v>
      </c>
      <c r="E65" s="16">
        <f>Source!I33</f>
        <v>7.7700000000000005E-2</v>
      </c>
      <c r="F65" s="17"/>
      <c r="G65" s="16"/>
      <c r="H65" s="18"/>
      <c r="I65" s="16" t="str">
        <f>IF(Source!BO33&lt;&gt;"",Source!BO33,"")</f>
        <v>27-03-008-4</v>
      </c>
      <c r="J65" s="18"/>
      <c r="R65">
        <f>ROUND((Source!FX33/100)*((ROUND(Source!AF33*Source!I33,2)+ROUND(Source!AE33*Source!I33,2))),2)</f>
        <v>194.49</v>
      </c>
      <c r="S65">
        <f>Source!X33</f>
        <v>4100.6499999999996</v>
      </c>
      <c r="T65">
        <f>ROUND((Source!FY33/100)*((ROUND(Source!AF33*Source!I33,2)+ROUND(Source!AE33*Source!I33,2))),2)</f>
        <v>122.89</v>
      </c>
      <c r="U65">
        <f>Source!Y33</f>
        <v>2445.34</v>
      </c>
    </row>
    <row r="66" spans="1:21" ht="13.5" x14ac:dyDescent="0.35">
      <c r="A66" s="15"/>
      <c r="B66" s="15"/>
      <c r="C66" s="15" t="s">
        <v>27</v>
      </c>
      <c r="D66" s="16"/>
      <c r="E66" s="16"/>
      <c r="F66" s="17">
        <f>Source!AO33</f>
        <v>1494.14</v>
      </c>
      <c r="G66" s="16" t="str">
        <f>IF(Source!DG33&lt;&gt;"",Source!DG33," ")</f>
        <v xml:space="preserve"> </v>
      </c>
      <c r="H66" s="18">
        <f>ROUND(Source!AF33*Source!I33,2)</f>
        <v>116.09</v>
      </c>
      <c r="I66" s="16">
        <f>IF(Source!BA33&lt;&gt;0,Source!BA33,1)</f>
        <v>24.72</v>
      </c>
      <c r="J66" s="18">
        <f>Source!S33</f>
        <v>2869.86</v>
      </c>
      <c r="Q66">
        <f>H66</f>
        <v>116.09</v>
      </c>
    </row>
    <row r="67" spans="1:21" ht="13.5" x14ac:dyDescent="0.35">
      <c r="A67" s="15"/>
      <c r="B67" s="15"/>
      <c r="C67" s="15" t="s">
        <v>28</v>
      </c>
      <c r="D67" s="16"/>
      <c r="E67" s="16"/>
      <c r="F67" s="17">
        <f>Source!AM33</f>
        <v>2377.9</v>
      </c>
      <c r="G67" s="16" t="str">
        <f>IF(Source!DE33&lt;&gt;"",Source!DE33," ")</f>
        <v xml:space="preserve"> </v>
      </c>
      <c r="H67" s="18">
        <f>ROUND(Source!AD33*Source!I33,2)</f>
        <v>184.76</v>
      </c>
      <c r="I67" s="16">
        <f>IF(Source!BB33&lt;&gt;0,Source!BB33,1)</f>
        <v>12.42</v>
      </c>
      <c r="J67" s="18">
        <f>Source!Q33</f>
        <v>2294.75</v>
      </c>
    </row>
    <row r="68" spans="1:21" ht="13.9" x14ac:dyDescent="0.4">
      <c r="A68" s="15"/>
      <c r="B68" s="15"/>
      <c r="C68" s="15" t="s">
        <v>29</v>
      </c>
      <c r="D68" s="16"/>
      <c r="E68" s="16"/>
      <c r="F68" s="17">
        <f>Source!AN33</f>
        <v>464.51</v>
      </c>
      <c r="G68" s="16" t="str">
        <f>IF(Source!DF33&lt;&gt;"",Source!DF33," ")</f>
        <v xml:space="preserve"> </v>
      </c>
      <c r="H68" s="19">
        <f>ROUND(Source!AE33*Source!I33,2)</f>
        <v>36.090000000000003</v>
      </c>
      <c r="I68" s="16">
        <f>IF(Source!BS33&lt;&gt;0,Source!BS33,1)</f>
        <v>24.72</v>
      </c>
      <c r="J68" s="19">
        <f>Source!R33</f>
        <v>892.2</v>
      </c>
      <c r="Q68">
        <f>H68</f>
        <v>36.090000000000003</v>
      </c>
    </row>
    <row r="69" spans="1:21" ht="15.75" customHeight="1" x14ac:dyDescent="0.35">
      <c r="A69" s="15"/>
      <c r="B69" s="15"/>
      <c r="C69" s="15" t="str">
        <f>CONCATENATE("НР от ФОТ [к тек. уровню ",Source!FV33,"]")</f>
        <v>НР от ФОТ [к тек. уровню *0,85]</v>
      </c>
      <c r="D69" s="16" t="s">
        <v>31</v>
      </c>
      <c r="E69" s="16">
        <f>Source!BZ33</f>
        <v>142</v>
      </c>
      <c r="F69" s="37" t="str">
        <f>CONCATENATE(" )",Source!DL33,Source!FT33,"=",Source!FX33,"%")</f>
        <v xml:space="preserve"> )*0,9=127,8%</v>
      </c>
      <c r="G69" s="37"/>
      <c r="H69" s="18">
        <f>SUM(R65:R69)</f>
        <v>194.49</v>
      </c>
      <c r="I69" s="16">
        <f>Source!AT33</f>
        <v>109</v>
      </c>
      <c r="J69" s="18">
        <f>SUM(S65:S69)</f>
        <v>4100.6499999999996</v>
      </c>
    </row>
    <row r="70" spans="1:21" ht="15.75" customHeight="1" x14ac:dyDescent="0.35">
      <c r="A70" s="15"/>
      <c r="B70" s="15"/>
      <c r="C70" s="15" t="str">
        <f>CONCATENATE("СП от ФОТ [к тек. уровню ",Source!FW33,"]")</f>
        <v>СП от ФОТ [к тек. уровню *0,8]</v>
      </c>
      <c r="D70" s="16" t="s">
        <v>31</v>
      </c>
      <c r="E70" s="16">
        <f>Source!CA33</f>
        <v>95</v>
      </c>
      <c r="F70" s="37" t="str">
        <f>CONCATENATE(" )",Source!DM33,Source!FU33,"=",Source!FY33,"%")</f>
        <v xml:space="preserve"> )*0,85=80,75%</v>
      </c>
      <c r="G70" s="37"/>
      <c r="H70" s="18">
        <f>SUM(T65:T70)</f>
        <v>122.89</v>
      </c>
      <c r="I70" s="16">
        <f>Source!AU33</f>
        <v>65</v>
      </c>
      <c r="J70" s="18">
        <f>SUM(U65:U70)</f>
        <v>2445.34</v>
      </c>
    </row>
    <row r="71" spans="1:21" ht="13.5" x14ac:dyDescent="0.35">
      <c r="A71" s="20"/>
      <c r="B71" s="20"/>
      <c r="C71" s="20" t="s">
        <v>32</v>
      </c>
      <c r="D71" s="21" t="s">
        <v>33</v>
      </c>
      <c r="E71" s="21">
        <f>Source!AQ33</f>
        <v>179.8</v>
      </c>
      <c r="F71" s="22"/>
      <c r="G71" s="21" t="str">
        <f>IF(Source!DI33&lt;&gt;"",Source!DI33," ")</f>
        <v xml:space="preserve"> </v>
      </c>
      <c r="H71" s="23">
        <f>Source!U33</f>
        <v>13.970460000000001</v>
      </c>
      <c r="I71" s="21"/>
      <c r="J71" s="23"/>
    </row>
    <row r="72" spans="1:21" ht="13.9" x14ac:dyDescent="0.35">
      <c r="A72" s="24"/>
      <c r="B72" s="24"/>
      <c r="C72" s="24" t="s">
        <v>34</v>
      </c>
      <c r="D72" s="24"/>
      <c r="E72" s="24"/>
      <c r="F72" s="24"/>
      <c r="G72" s="38">
        <f>ROUND(Source!AC33*Source!I33,2)+ROUND(Source!AF33*Source!I33,2)+ROUND(Source!AD33*Source!I33,2)+SUM(H69:H70)</f>
        <v>618.23</v>
      </c>
      <c r="H72" s="38"/>
      <c r="I72" s="38">
        <f>Source!CQ33*Source!I33+Source!CT33*Source!I33+Source!CR33*Source!I33+SUM(J69:J70)</f>
        <v>11710.60478876</v>
      </c>
      <c r="J72" s="38"/>
      <c r="O72">
        <f>G72</f>
        <v>618.23</v>
      </c>
      <c r="P72">
        <f>I72</f>
        <v>11710.60478876</v>
      </c>
    </row>
    <row r="73" spans="1:21" ht="67.5" x14ac:dyDescent="0.35">
      <c r="A73" s="15" t="str">
        <f>IF(Source!E34&lt;&gt;"",Source!E34,"")</f>
        <v>6</v>
      </c>
      <c r="B73" s="15" t="s">
        <v>37</v>
      </c>
      <c r="C73" s="15" t="str">
        <f>IF(Source!G34&lt;&gt;"",Source!G34,"")</f>
        <v>Устройство подстилающих и выравнивающих слоев оснований из песка</v>
      </c>
      <c r="D73" s="16" t="str">
        <f>IF(Source!H34&lt;&gt;"",Source!H34,"")</f>
        <v>100 м3 материала основания (в плотном теле)</v>
      </c>
      <c r="E73" s="16">
        <f>Source!I34</f>
        <v>0.44400000000000001</v>
      </c>
      <c r="F73" s="17"/>
      <c r="G73" s="16"/>
      <c r="H73" s="18"/>
      <c r="I73" s="16" t="str">
        <f>IF(Source!BO34&lt;&gt;"",Source!BO34,"")</f>
        <v>27-04-001-1</v>
      </c>
      <c r="J73" s="18"/>
      <c r="R73">
        <f>ROUND((Source!FX34/100)*((ROUND(Source!AF34*Source!I34,2)+ROUND(Source!AE34*Source!I34,2))),2)</f>
        <v>208.19</v>
      </c>
      <c r="S73">
        <f>Source!X34</f>
        <v>4389.32</v>
      </c>
      <c r="T73">
        <f>ROUND((Source!FY34/100)*((ROUND(Source!AF34*Source!I34,2)+ROUND(Source!AE34*Source!I34,2))),2)</f>
        <v>131.54</v>
      </c>
      <c r="U73">
        <f>Source!Y34</f>
        <v>2617.4899999999998</v>
      </c>
    </row>
    <row r="74" spans="1:21" ht="13.5" x14ac:dyDescent="0.35">
      <c r="A74" s="15"/>
      <c r="B74" s="15"/>
      <c r="C74" s="15" t="s">
        <v>27</v>
      </c>
      <c r="D74" s="16"/>
      <c r="E74" s="16"/>
      <c r="F74" s="17">
        <f>Source!AO34</f>
        <v>126.07</v>
      </c>
      <c r="G74" s="16" t="str">
        <f>IF(Source!DG34&lt;&gt;"",Source!DG34," ")</f>
        <v>)*1,15</v>
      </c>
      <c r="H74" s="18">
        <f>ROUND(Source!AF34*Source!I34,2)</f>
        <v>64.37</v>
      </c>
      <c r="I74" s="16">
        <f>IF(Source!BA34&lt;&gt;0,Source!BA34,1)</f>
        <v>24.72</v>
      </c>
      <c r="J74" s="18">
        <f>Source!S34</f>
        <v>1591.26</v>
      </c>
      <c r="Q74">
        <f>H74</f>
        <v>64.37</v>
      </c>
    </row>
    <row r="75" spans="1:21" ht="13.5" x14ac:dyDescent="0.35">
      <c r="A75" s="15"/>
      <c r="B75" s="15"/>
      <c r="C75" s="15" t="s">
        <v>28</v>
      </c>
      <c r="D75" s="16"/>
      <c r="E75" s="16"/>
      <c r="F75" s="17">
        <f>Source!AM34</f>
        <v>2186.19</v>
      </c>
      <c r="G75" s="16" t="str">
        <f>IF(Source!DE34&lt;&gt;"",Source!DE34," ")</f>
        <v>)*1,25</v>
      </c>
      <c r="H75" s="18">
        <f>ROUND(Source!AD34*Source!I34,2)</f>
        <v>1213.3399999999999</v>
      </c>
      <c r="I75" s="16">
        <f>IF(Source!BB34&lt;&gt;0,Source!BB34,1)</f>
        <v>5.55</v>
      </c>
      <c r="J75" s="18">
        <f>Source!Q34</f>
        <v>6734.01</v>
      </c>
    </row>
    <row r="76" spans="1:21" ht="13.9" x14ac:dyDescent="0.4">
      <c r="A76" s="15"/>
      <c r="B76" s="15"/>
      <c r="C76" s="15" t="s">
        <v>29</v>
      </c>
      <c r="D76" s="16"/>
      <c r="E76" s="16"/>
      <c r="F76" s="17">
        <f>Source!AN34</f>
        <v>177.53</v>
      </c>
      <c r="G76" s="16" t="str">
        <f>IF(Source!DF34&lt;&gt;"",Source!DF34," ")</f>
        <v>)*1,25</v>
      </c>
      <c r="H76" s="19">
        <f>ROUND(Source!AE34*Source!I34,2)</f>
        <v>98.53</v>
      </c>
      <c r="I76" s="16">
        <f>IF(Source!BS34&lt;&gt;0,Source!BS34,1)</f>
        <v>24.72</v>
      </c>
      <c r="J76" s="19">
        <f>Source!R34</f>
        <v>2435.64</v>
      </c>
      <c r="Q76">
        <f>H76</f>
        <v>98.53</v>
      </c>
    </row>
    <row r="77" spans="1:21" ht="13.5" x14ac:dyDescent="0.35">
      <c r="A77" s="15"/>
      <c r="B77" s="15"/>
      <c r="C77" s="15" t="s">
        <v>30</v>
      </c>
      <c r="D77" s="16"/>
      <c r="E77" s="16"/>
      <c r="F77" s="17">
        <f>Source!AL34</f>
        <v>12.2</v>
      </c>
      <c r="G77" s="16" t="str">
        <f>IF(Source!DD34&lt;&gt;"",Source!DD34," ")</f>
        <v xml:space="preserve"> </v>
      </c>
      <c r="H77" s="18">
        <f>ROUND(Source!AC34*Source!I34,2)</f>
        <v>5.42</v>
      </c>
      <c r="I77" s="16">
        <f>IF(Source!BC34&lt;&gt;0,Source!BC34,1)</f>
        <v>6.8</v>
      </c>
      <c r="J77" s="18">
        <f>Source!P34</f>
        <v>36.83</v>
      </c>
    </row>
    <row r="78" spans="1:21" ht="27" x14ac:dyDescent="0.35">
      <c r="A78" s="15" t="str">
        <f>IF(Source!E35&lt;&gt;"",Source!E35,"")</f>
        <v>6,1</v>
      </c>
      <c r="B78" s="15" t="str">
        <f>IF(Source!F35&lt;&gt;"",Source!F35,"")</f>
        <v>408-0122</v>
      </c>
      <c r="C78" s="15" t="str">
        <f>IF(Source!G35&lt;&gt;"",Source!G35,"")</f>
        <v>Песок природный для строительных работ средний</v>
      </c>
      <c r="D78" s="16" t="str">
        <f>IF(Source!H35&lt;&gt;"",Source!H35,"")</f>
        <v>м3</v>
      </c>
      <c r="E78" s="16">
        <f>Source!I35</f>
        <v>48.84</v>
      </c>
      <c r="F78" s="17">
        <f>Source!AK35</f>
        <v>55.26</v>
      </c>
      <c r="G78" s="16"/>
      <c r="H78" s="18">
        <f>ROUND(Source!AC35*Source!I35,2)+ROUND(Source!AD35*Source!I35,2)+ROUND(Source!AF35*Source!I35,2)</f>
        <v>2698.9</v>
      </c>
      <c r="I78" s="16">
        <f>IF(Source!BC35&lt;&gt;0,Source!BC35,1)</f>
        <v>7.83</v>
      </c>
      <c r="J78" s="18">
        <f>Source!O35</f>
        <v>21132.37</v>
      </c>
      <c r="R78">
        <f>ROUND((Source!FX35/100)*((ROUND(Source!AF35*Source!I35,2)+ROUND(Source!AE35*Source!I35,2))),2)</f>
        <v>0</v>
      </c>
      <c r="S78">
        <f>Source!X35</f>
        <v>0</v>
      </c>
      <c r="T78">
        <f>ROUND((Source!FY35/100)*((ROUND(Source!AF35*Source!I35,2)+ROUND(Source!AE35*Source!I35,2))),2)</f>
        <v>0</v>
      </c>
      <c r="U78">
        <f>Source!Y35</f>
        <v>0</v>
      </c>
    </row>
    <row r="79" spans="1:21" ht="15.75" customHeight="1" x14ac:dyDescent="0.35">
      <c r="A79" s="15"/>
      <c r="B79" s="15"/>
      <c r="C79" s="15" t="str">
        <f>CONCATENATE("НР от ФОТ [к тек. уровню ",Source!FV34,"]")</f>
        <v>НР от ФОТ [к тек. уровню *0,85]</v>
      </c>
      <c r="D79" s="16" t="s">
        <v>31</v>
      </c>
      <c r="E79" s="16">
        <f>Source!BZ34</f>
        <v>142</v>
      </c>
      <c r="F79" s="37" t="str">
        <f>CONCATENATE(" )",Source!DL34,Source!FT34,"=",Source!FX34,"%")</f>
        <v xml:space="preserve"> )*0,9=127,8%</v>
      </c>
      <c r="G79" s="37"/>
      <c r="H79" s="18">
        <f>SUM(R73:R79)</f>
        <v>208.19</v>
      </c>
      <c r="I79" s="16">
        <f>Source!AT34</f>
        <v>109</v>
      </c>
      <c r="J79" s="18">
        <f>SUM(S73:S79)</f>
        <v>4389.32</v>
      </c>
    </row>
    <row r="80" spans="1:21" ht="15.75" customHeight="1" x14ac:dyDescent="0.35">
      <c r="A80" s="15"/>
      <c r="B80" s="15"/>
      <c r="C80" s="15" t="str">
        <f>CONCATENATE("СП от ФОТ [к тек. уровню ",Source!FW34,"]")</f>
        <v>СП от ФОТ [к тек. уровню *0,8]</v>
      </c>
      <c r="D80" s="16" t="s">
        <v>31</v>
      </c>
      <c r="E80" s="16">
        <f>Source!CA34</f>
        <v>95</v>
      </c>
      <c r="F80" s="37" t="str">
        <f>CONCATENATE(" )",Source!DM34,Source!FU34,"=",Source!FY34,"%")</f>
        <v xml:space="preserve"> )*0,85=80,75%</v>
      </c>
      <c r="G80" s="37"/>
      <c r="H80" s="18">
        <f>SUM(T73:T80)</f>
        <v>131.54</v>
      </c>
      <c r="I80" s="16">
        <f>Source!AU34</f>
        <v>65</v>
      </c>
      <c r="J80" s="18">
        <f>SUM(U73:U80)</f>
        <v>2617.4899999999998</v>
      </c>
    </row>
    <row r="81" spans="1:21" ht="13.5" x14ac:dyDescent="0.35">
      <c r="A81" s="20"/>
      <c r="B81" s="20"/>
      <c r="C81" s="20" t="s">
        <v>32</v>
      </c>
      <c r="D81" s="21" t="s">
        <v>33</v>
      </c>
      <c r="E81" s="21">
        <f>Source!AQ34</f>
        <v>15.72</v>
      </c>
      <c r="F81" s="22"/>
      <c r="G81" s="21" t="str">
        <f>IF(Source!DI34&lt;&gt;"",Source!DI34," ")</f>
        <v>)*1,15</v>
      </c>
      <c r="H81" s="23">
        <f>Source!U34</f>
        <v>8.0266319999999993</v>
      </c>
      <c r="I81" s="21"/>
      <c r="J81" s="23"/>
    </row>
    <row r="82" spans="1:21" ht="13.9" x14ac:dyDescent="0.35">
      <c r="A82" s="24"/>
      <c r="B82" s="24"/>
      <c r="C82" s="24" t="s">
        <v>34</v>
      </c>
      <c r="D82" s="24"/>
      <c r="E82" s="24"/>
      <c r="F82" s="24"/>
      <c r="G82" s="38">
        <f>ROUND(Source!AC34*Source!I34,2)+ROUND(Source!AF34*Source!I34,2)+ROUND(Source!AD34*Source!I34,2)+SUM(H78:H80)</f>
        <v>4321.76</v>
      </c>
      <c r="H82" s="38"/>
      <c r="I82" s="38">
        <f>Source!CQ34*Source!I34+Source!CT34*Source!I34+Source!CR34*Source!I34+SUM(J78:J80)</f>
        <v>36501.285561739998</v>
      </c>
      <c r="J82" s="38"/>
      <c r="O82">
        <f>G82</f>
        <v>4321.76</v>
      </c>
      <c r="P82">
        <f>I82</f>
        <v>36501.285561739998</v>
      </c>
    </row>
    <row r="83" spans="1:21" ht="67.5" x14ac:dyDescent="0.35">
      <c r="A83" s="15" t="str">
        <f>IF(Source!E36&lt;&gt;"",Source!E36,"")</f>
        <v>7</v>
      </c>
      <c r="B83" s="15" t="s">
        <v>38</v>
      </c>
      <c r="C83" s="15" t="str">
        <f>IF(Source!G36&lt;&gt;"",Source!G36,"")</f>
        <v>Устройство подстилающих и выравнивающих слоев оснований из щебня</v>
      </c>
      <c r="D83" s="16" t="str">
        <f>IF(Source!H36&lt;&gt;"",Source!H36,"")</f>
        <v>100 м3 материала основания (в плотном теле)</v>
      </c>
      <c r="E83" s="16">
        <f>Source!I36</f>
        <v>0.33300000000000002</v>
      </c>
      <c r="F83" s="17"/>
      <c r="G83" s="16"/>
      <c r="H83" s="18"/>
      <c r="I83" s="16" t="str">
        <f>IF(Source!BO36&lt;&gt;"",Source!BO36,"")</f>
        <v>27-04-001-4</v>
      </c>
      <c r="J83" s="18"/>
      <c r="R83">
        <f>ROUND((Source!FX36/100)*((ROUND(Source!AF36*Source!I36,2)+ROUND(Source!AE36*Source!I36,2))),2)</f>
        <v>244.05</v>
      </c>
      <c r="S83">
        <f>Source!X36</f>
        <v>5145.3999999999996</v>
      </c>
      <c r="T83">
        <f>ROUND((Source!FY36/100)*((ROUND(Source!AF36*Source!I36,2)+ROUND(Source!AE36*Source!I36,2))),2)</f>
        <v>154.19999999999999</v>
      </c>
      <c r="U83">
        <f>Source!Y36</f>
        <v>3068.36</v>
      </c>
    </row>
    <row r="84" spans="1:21" ht="13.5" x14ac:dyDescent="0.35">
      <c r="A84" s="15"/>
      <c r="B84" s="15"/>
      <c r="C84" s="15" t="s">
        <v>27</v>
      </c>
      <c r="D84" s="16"/>
      <c r="E84" s="16"/>
      <c r="F84" s="17">
        <f>Source!AO36</f>
        <v>195.7</v>
      </c>
      <c r="G84" s="16" t="str">
        <f>IF(Source!DG36&lt;&gt;"",Source!DG36," ")</f>
        <v>)*1,15</v>
      </c>
      <c r="H84" s="18">
        <f>ROUND(Source!AF36*Source!I36,2)</f>
        <v>74.94</v>
      </c>
      <c r="I84" s="16">
        <f>IF(Source!BA36&lt;&gt;0,Source!BA36,1)</f>
        <v>24.72</v>
      </c>
      <c r="J84" s="18">
        <f>Source!S36</f>
        <v>1852.6</v>
      </c>
      <c r="Q84">
        <f>H84</f>
        <v>74.94</v>
      </c>
    </row>
    <row r="85" spans="1:21" ht="13.5" x14ac:dyDescent="0.35">
      <c r="A85" s="15"/>
      <c r="B85" s="15"/>
      <c r="C85" s="15" t="s">
        <v>28</v>
      </c>
      <c r="D85" s="16"/>
      <c r="E85" s="16"/>
      <c r="F85" s="17">
        <f>Source!AM36</f>
        <v>3365.64</v>
      </c>
      <c r="G85" s="16" t="str">
        <f>IF(Source!DE36&lt;&gt;"",Source!DE36," ")</f>
        <v>)*1,25</v>
      </c>
      <c r="H85" s="18">
        <f>ROUND(Source!AD36*Source!I36,2)</f>
        <v>1400.95</v>
      </c>
      <c r="I85" s="16">
        <f>IF(Source!BB36&lt;&gt;0,Source!BB36,1)</f>
        <v>5.56</v>
      </c>
      <c r="J85" s="18">
        <f>Source!Q36</f>
        <v>7789.27</v>
      </c>
    </row>
    <row r="86" spans="1:21" ht="13.9" x14ac:dyDescent="0.4">
      <c r="A86" s="15"/>
      <c r="B86" s="15"/>
      <c r="C86" s="15" t="s">
        <v>29</v>
      </c>
      <c r="D86" s="16"/>
      <c r="E86" s="16"/>
      <c r="F86" s="17">
        <f>Source!AN36</f>
        <v>278.72000000000003</v>
      </c>
      <c r="G86" s="16" t="str">
        <f>IF(Source!DF36&lt;&gt;"",Source!DF36," ")</f>
        <v>)*1,25</v>
      </c>
      <c r="H86" s="19">
        <f>ROUND(Source!AE36*Source!I36,2)</f>
        <v>116.02</v>
      </c>
      <c r="I86" s="16">
        <f>IF(Source!BS36&lt;&gt;0,Source!BS36,1)</f>
        <v>24.72</v>
      </c>
      <c r="J86" s="19">
        <f>Source!R36</f>
        <v>2867.95</v>
      </c>
      <c r="Q86">
        <f>H86</f>
        <v>116.02</v>
      </c>
    </row>
    <row r="87" spans="1:21" ht="13.5" x14ac:dyDescent="0.35">
      <c r="A87" s="15"/>
      <c r="B87" s="15"/>
      <c r="C87" s="15" t="s">
        <v>30</v>
      </c>
      <c r="D87" s="16"/>
      <c r="E87" s="16"/>
      <c r="F87" s="17">
        <f>Source!AL36</f>
        <v>17.079999999999998</v>
      </c>
      <c r="G87" s="16" t="str">
        <f>IF(Source!DD36&lt;&gt;"",Source!DD36," ")</f>
        <v xml:space="preserve"> </v>
      </c>
      <c r="H87" s="18">
        <f>ROUND(Source!AC36*Source!I36,2)</f>
        <v>5.69</v>
      </c>
      <c r="I87" s="16">
        <f>IF(Source!BC36&lt;&gt;0,Source!BC36,1)</f>
        <v>6.8</v>
      </c>
      <c r="J87" s="18">
        <f>Source!P36</f>
        <v>38.68</v>
      </c>
    </row>
    <row r="88" spans="1:21" ht="27" x14ac:dyDescent="0.35">
      <c r="A88" s="15" t="str">
        <f>IF(Source!E37&lt;&gt;"",Source!E37,"")</f>
        <v>7,1</v>
      </c>
      <c r="B88" s="15" t="str">
        <f>IF(Source!F37&lt;&gt;"",Source!F37,"")</f>
        <v>408-0011</v>
      </c>
      <c r="C88" s="15" t="str">
        <f>IF(Source!G37&lt;&gt;"",Source!G37,"")</f>
        <v>Щебень из природного камня для строительных работ марка 1000, фракция 20-40 мм</v>
      </c>
      <c r="D88" s="16" t="str">
        <f>IF(Source!H37&lt;&gt;"",Source!H37,"")</f>
        <v>м3</v>
      </c>
      <c r="E88" s="16">
        <f>Source!I37</f>
        <v>41.958000000000006</v>
      </c>
      <c r="F88" s="17">
        <f>Source!AK37</f>
        <v>118.6</v>
      </c>
      <c r="G88" s="16"/>
      <c r="H88" s="18">
        <f>ROUND(Source!AC37*Source!I37,2)+ROUND(Source!AD37*Source!I37,2)+ROUND(Source!AF37*Source!I37,2)</f>
        <v>4976.22</v>
      </c>
      <c r="I88" s="16">
        <f>IF(Source!BC37&lt;&gt;0,Source!BC37,1)</f>
        <v>11.44</v>
      </c>
      <c r="J88" s="18">
        <f>Source!O37</f>
        <v>56927.94</v>
      </c>
      <c r="R88">
        <f>ROUND((Source!FX37/100)*((ROUND(Source!AF37*Source!I37,2)+ROUND(Source!AE37*Source!I37,2))),2)</f>
        <v>0</v>
      </c>
      <c r="S88">
        <f>Source!X37</f>
        <v>0</v>
      </c>
      <c r="T88">
        <f>ROUND((Source!FY37/100)*((ROUND(Source!AF37*Source!I37,2)+ROUND(Source!AE37*Source!I37,2))),2)</f>
        <v>0</v>
      </c>
      <c r="U88">
        <f>Source!Y37</f>
        <v>0</v>
      </c>
    </row>
    <row r="89" spans="1:21" ht="15.75" customHeight="1" x14ac:dyDescent="0.35">
      <c r="A89" s="15"/>
      <c r="B89" s="15"/>
      <c r="C89" s="15" t="str">
        <f>CONCATENATE("НР от ФОТ [к тек. уровню ",Source!FV36,"]")</f>
        <v>НР от ФОТ [к тек. уровню *0,85]</v>
      </c>
      <c r="D89" s="16" t="s">
        <v>31</v>
      </c>
      <c r="E89" s="16">
        <f>Source!BZ36</f>
        <v>142</v>
      </c>
      <c r="F89" s="37" t="str">
        <f>CONCATENATE(" )",Source!DL36,Source!FT36,"=",Source!FX36,"%")</f>
        <v xml:space="preserve"> )*0,9=127,8%</v>
      </c>
      <c r="G89" s="37"/>
      <c r="H89" s="18">
        <f>SUM(R83:R89)</f>
        <v>244.05</v>
      </c>
      <c r="I89" s="16">
        <f>Source!AT36</f>
        <v>109</v>
      </c>
      <c r="J89" s="18">
        <f>SUM(S83:S89)</f>
        <v>5145.3999999999996</v>
      </c>
    </row>
    <row r="90" spans="1:21" ht="15.75" customHeight="1" x14ac:dyDescent="0.35">
      <c r="A90" s="15"/>
      <c r="B90" s="15"/>
      <c r="C90" s="15" t="str">
        <f>CONCATENATE("СП от ФОТ [к тек. уровню ",Source!FW36,"]")</f>
        <v>СП от ФОТ [к тек. уровню *0,8]</v>
      </c>
      <c r="D90" s="16" t="s">
        <v>31</v>
      </c>
      <c r="E90" s="16">
        <f>Source!CA36</f>
        <v>95</v>
      </c>
      <c r="F90" s="37" t="str">
        <f>CONCATENATE(" )",Source!DM36,Source!FU36,"=",Source!FY36,"%")</f>
        <v xml:space="preserve"> )*0,85=80,75%</v>
      </c>
      <c r="G90" s="37"/>
      <c r="H90" s="18">
        <f>SUM(T83:T90)</f>
        <v>154.19999999999999</v>
      </c>
      <c r="I90" s="16">
        <f>Source!AU36</f>
        <v>65</v>
      </c>
      <c r="J90" s="18">
        <f>SUM(U83:U90)</f>
        <v>3068.36</v>
      </c>
    </row>
    <row r="91" spans="1:21" ht="13.5" x14ac:dyDescent="0.35">
      <c r="A91" s="20"/>
      <c r="B91" s="20"/>
      <c r="C91" s="20" t="s">
        <v>32</v>
      </c>
      <c r="D91" s="21" t="s">
        <v>33</v>
      </c>
      <c r="E91" s="21">
        <f>Source!AQ36</f>
        <v>24.19</v>
      </c>
      <c r="F91" s="22"/>
      <c r="G91" s="21" t="str">
        <f>IF(Source!DI36&lt;&gt;"",Source!DI36," ")</f>
        <v>)*1,15</v>
      </c>
      <c r="H91" s="23">
        <f>Source!U36</f>
        <v>9.2635605000000005</v>
      </c>
      <c r="I91" s="21"/>
      <c r="J91" s="23"/>
    </row>
    <row r="92" spans="1:21" ht="13.9" x14ac:dyDescent="0.35">
      <c r="A92" s="24"/>
      <c r="B92" s="24"/>
      <c r="C92" s="24" t="s">
        <v>34</v>
      </c>
      <c r="D92" s="24"/>
      <c r="E92" s="24"/>
      <c r="F92" s="24"/>
      <c r="G92" s="38">
        <f>ROUND(Source!AC36*Source!I36,2)+ROUND(Source!AF36*Source!I36,2)+ROUND(Source!AD36*Source!I36,2)+SUM(H88:H90)</f>
        <v>6856.05</v>
      </c>
      <c r="H92" s="38"/>
      <c r="I92" s="38">
        <f>Source!CQ36*Source!I36+Source!CT36*Source!I36+Source!CR36*Source!I36+SUM(J88:J90)</f>
        <v>74822.243632800004</v>
      </c>
      <c r="J92" s="38"/>
      <c r="O92">
        <f>G92</f>
        <v>6856.05</v>
      </c>
      <c r="P92">
        <f>I92</f>
        <v>74822.243632800004</v>
      </c>
    </row>
    <row r="93" spans="1:21" ht="40.5" x14ac:dyDescent="0.35">
      <c r="A93" s="15" t="str">
        <f>IF(Source!E38&lt;&gt;"",Source!E38,"")</f>
        <v>8</v>
      </c>
      <c r="B93" s="15" t="str">
        <f>IF(Source!F38&lt;&gt;"",Source!F38,"")</f>
        <v>27-03-008-4</v>
      </c>
      <c r="C93" s="15" t="str">
        <f>IF(Source!G38&lt;&gt;"",Source!G38,"")</f>
        <v>Разборка покрытий и оснований асфальтобетонных</v>
      </c>
      <c r="D93" s="16" t="str">
        <f>IF(Source!H38&lt;&gt;"",Source!H38,"")</f>
        <v>100 м3 конструкций</v>
      </c>
      <c r="E93" s="16">
        <f>Source!I38</f>
        <v>1.7629999999999999</v>
      </c>
      <c r="F93" s="17"/>
      <c r="G93" s="16"/>
      <c r="H93" s="18"/>
      <c r="I93" s="16" t="str">
        <f>IF(Source!BO38&lt;&gt;"",Source!BO38,"")</f>
        <v>27-03-008-4</v>
      </c>
      <c r="J93" s="18"/>
      <c r="R93">
        <f>ROUND((Source!FX38/100)*((ROUND(Source!AF38*Source!I38,2)+ROUND(Source!AE38*Source!I38,2))),2)</f>
        <v>4413.0600000000004</v>
      </c>
      <c r="S93">
        <f>Source!X38</f>
        <v>93043.09</v>
      </c>
      <c r="T93">
        <f>ROUND((Source!FY38/100)*((ROUND(Source!AF38*Source!I38,2)+ROUND(Source!AE38*Source!I38,2))),2)</f>
        <v>2788.38</v>
      </c>
      <c r="U93">
        <f>Source!Y38</f>
        <v>55484.41</v>
      </c>
    </row>
    <row r="94" spans="1:21" ht="13.5" x14ac:dyDescent="0.35">
      <c r="A94" s="15"/>
      <c r="B94" s="15"/>
      <c r="C94" s="15" t="s">
        <v>27</v>
      </c>
      <c r="D94" s="16"/>
      <c r="E94" s="16"/>
      <c r="F94" s="17">
        <f>Source!AO38</f>
        <v>1494.14</v>
      </c>
      <c r="G94" s="16" t="str">
        <f>IF(Source!DG38&lt;&gt;"",Source!DG38," ")</f>
        <v xml:space="preserve"> </v>
      </c>
      <c r="H94" s="18">
        <f>ROUND(Source!AF38*Source!I38,2)</f>
        <v>2634.17</v>
      </c>
      <c r="I94" s="16">
        <f>IF(Source!BA38&lt;&gt;0,Source!BA38,1)</f>
        <v>24.72</v>
      </c>
      <c r="J94" s="18">
        <f>Source!S38</f>
        <v>65116.65</v>
      </c>
      <c r="Q94">
        <f>H94</f>
        <v>2634.17</v>
      </c>
    </row>
    <row r="95" spans="1:21" ht="13.5" x14ac:dyDescent="0.35">
      <c r="A95" s="15"/>
      <c r="B95" s="15"/>
      <c r="C95" s="15" t="s">
        <v>28</v>
      </c>
      <c r="D95" s="16"/>
      <c r="E95" s="16"/>
      <c r="F95" s="17">
        <f>Source!AM38</f>
        <v>2377.9</v>
      </c>
      <c r="G95" s="16" t="str">
        <f>IF(Source!DE38&lt;&gt;"",Source!DE38," ")</f>
        <v xml:space="preserve"> </v>
      </c>
      <c r="H95" s="18">
        <f>ROUND(Source!AD38*Source!I38,2)</f>
        <v>4192.24</v>
      </c>
      <c r="I95" s="16">
        <f>IF(Source!BB38&lt;&gt;0,Source!BB38,1)</f>
        <v>12.42</v>
      </c>
      <c r="J95" s="18">
        <f>Source!Q38</f>
        <v>52067.59</v>
      </c>
    </row>
    <row r="96" spans="1:21" ht="13.9" x14ac:dyDescent="0.4">
      <c r="A96" s="15"/>
      <c r="B96" s="15"/>
      <c r="C96" s="15" t="s">
        <v>29</v>
      </c>
      <c r="D96" s="16"/>
      <c r="E96" s="16"/>
      <c r="F96" s="17">
        <f>Source!AN38</f>
        <v>464.51</v>
      </c>
      <c r="G96" s="16" t="str">
        <f>IF(Source!DF38&lt;&gt;"",Source!DF38," ")</f>
        <v xml:space="preserve"> </v>
      </c>
      <c r="H96" s="19">
        <f>ROUND(Source!AE38*Source!I38,2)</f>
        <v>818.93</v>
      </c>
      <c r="I96" s="16">
        <f>IF(Source!BS38&lt;&gt;0,Source!BS38,1)</f>
        <v>24.72</v>
      </c>
      <c r="J96" s="19">
        <f>Source!R38</f>
        <v>20243.98</v>
      </c>
      <c r="Q96">
        <f>H96</f>
        <v>818.93</v>
      </c>
    </row>
    <row r="97" spans="1:21" ht="15.75" customHeight="1" x14ac:dyDescent="0.35">
      <c r="A97" s="15"/>
      <c r="B97" s="15"/>
      <c r="C97" s="15" t="str">
        <f>CONCATENATE("НР от ФОТ [к тек. уровню ",Source!FV38,"]")</f>
        <v>НР от ФОТ [к тек. уровню *0,85]</v>
      </c>
      <c r="D97" s="16" t="s">
        <v>31</v>
      </c>
      <c r="E97" s="16">
        <f>Source!BZ38</f>
        <v>142</v>
      </c>
      <c r="F97" s="37" t="str">
        <f>CONCATENATE(" )",Source!DL38,Source!FT38,"=",Source!FX38,"%")</f>
        <v xml:space="preserve"> )*0,9=127,8%</v>
      </c>
      <c r="G97" s="37"/>
      <c r="H97" s="18">
        <f>SUM(R93:R97)</f>
        <v>4413.0600000000004</v>
      </c>
      <c r="I97" s="16">
        <f>Source!AT38</f>
        <v>109</v>
      </c>
      <c r="J97" s="18">
        <f>SUM(S93:S97)</f>
        <v>93043.09</v>
      </c>
    </row>
    <row r="98" spans="1:21" ht="15.75" customHeight="1" x14ac:dyDescent="0.35">
      <c r="A98" s="15"/>
      <c r="B98" s="15"/>
      <c r="C98" s="15" t="str">
        <f>CONCATENATE("СП от ФОТ [к тек. уровню ",Source!FW38,"]")</f>
        <v>СП от ФОТ [к тек. уровню *0,8]</v>
      </c>
      <c r="D98" s="16" t="s">
        <v>31</v>
      </c>
      <c r="E98" s="16">
        <f>Source!CA38</f>
        <v>95</v>
      </c>
      <c r="F98" s="37" t="str">
        <f>CONCATENATE(" )",Source!DM38,Source!FU38,"=",Source!FY38,"%")</f>
        <v xml:space="preserve"> )*0,85=80,75%</v>
      </c>
      <c r="G98" s="37"/>
      <c r="H98" s="18">
        <f>SUM(T93:T98)</f>
        <v>2788.38</v>
      </c>
      <c r="I98" s="16">
        <f>Source!AU38</f>
        <v>65</v>
      </c>
      <c r="J98" s="18">
        <f>SUM(U93:U98)</f>
        <v>55484.41</v>
      </c>
    </row>
    <row r="99" spans="1:21" ht="13.5" x14ac:dyDescent="0.35">
      <c r="A99" s="20"/>
      <c r="B99" s="20"/>
      <c r="C99" s="20" t="s">
        <v>32</v>
      </c>
      <c r="D99" s="21" t="s">
        <v>33</v>
      </c>
      <c r="E99" s="21">
        <f>Source!AQ38</f>
        <v>179.8</v>
      </c>
      <c r="F99" s="22"/>
      <c r="G99" s="21" t="str">
        <f>IF(Source!DI38&lt;&gt;"",Source!DI38," ")</f>
        <v xml:space="preserve"> </v>
      </c>
      <c r="H99" s="23">
        <f>Source!U38</f>
        <v>316.98739999999998</v>
      </c>
      <c r="I99" s="21"/>
      <c r="J99" s="23"/>
    </row>
    <row r="100" spans="1:21" ht="13.9" x14ac:dyDescent="0.35">
      <c r="A100" s="24"/>
      <c r="B100" s="24"/>
      <c r="C100" s="24" t="s">
        <v>34</v>
      </c>
      <c r="D100" s="24"/>
      <c r="E100" s="24"/>
      <c r="F100" s="24"/>
      <c r="G100" s="38">
        <f>ROUND(Source!AC38*Source!I38,2)+ROUND(Source!AF38*Source!I38,2)+ROUND(Source!AD38*Source!I38,2)+SUM(H97:H98)</f>
        <v>14027.85</v>
      </c>
      <c r="H100" s="38"/>
      <c r="I100" s="38">
        <f>Source!CQ38*Source!I38+Source!CT38*Source!I38+Source!CR38*Source!I38+SUM(J97:J98)</f>
        <v>265711.74546439998</v>
      </c>
      <c r="J100" s="38"/>
      <c r="O100">
        <f>G100</f>
        <v>14027.85</v>
      </c>
      <c r="P100">
        <f>I100</f>
        <v>265711.74546439998</v>
      </c>
    </row>
    <row r="101" spans="1:21" ht="67.5" x14ac:dyDescent="0.35">
      <c r="A101" s="15" t="str">
        <f>IF(Source!E39&lt;&gt;"",Source!E39,"")</f>
        <v>9</v>
      </c>
      <c r="B101" s="15" t="s">
        <v>37</v>
      </c>
      <c r="C101" s="15" t="str">
        <f>IF(Source!G39&lt;&gt;"",Source!G39,"")</f>
        <v>Устройство подстилающих и выравнивающих слоев оснований из песка</v>
      </c>
      <c r="D101" s="16" t="str">
        <f>IF(Source!H39&lt;&gt;"",Source!H39,"")</f>
        <v>100 м3 материала основания (в плотном теле)</v>
      </c>
      <c r="E101" s="16">
        <f>Source!I39</f>
        <v>0.67800000000000005</v>
      </c>
      <c r="F101" s="17"/>
      <c r="G101" s="16"/>
      <c r="H101" s="18"/>
      <c r="I101" s="16" t="str">
        <f>IF(Source!BO39&lt;&gt;"",Source!BO39,"")</f>
        <v>27-04-001-1</v>
      </c>
      <c r="J101" s="18"/>
      <c r="R101">
        <f>ROUND((Source!FX39/100)*((ROUND(Source!AF39*Source!I39,2)+ROUND(Source!AE39*Source!I39,2))),2)</f>
        <v>317.92</v>
      </c>
      <c r="S101">
        <f>Source!X39</f>
        <v>6702.62</v>
      </c>
      <c r="T101">
        <f>ROUND((Source!FY39/100)*((ROUND(Source!AF39*Source!I39,2)+ROUND(Source!AE39*Source!I39,2))),2)</f>
        <v>200.87</v>
      </c>
      <c r="U101">
        <f>Source!Y39</f>
        <v>3996.97</v>
      </c>
    </row>
    <row r="102" spans="1:21" ht="13.5" x14ac:dyDescent="0.35">
      <c r="A102" s="15"/>
      <c r="B102" s="15"/>
      <c r="C102" s="15" t="s">
        <v>27</v>
      </c>
      <c r="D102" s="16"/>
      <c r="E102" s="16"/>
      <c r="F102" s="17">
        <f>Source!AO39</f>
        <v>126.07</v>
      </c>
      <c r="G102" s="16" t="str">
        <f>IF(Source!DG39&lt;&gt;"",Source!DG39," ")</f>
        <v>)*1,15</v>
      </c>
      <c r="H102" s="18">
        <f>ROUND(Source!AF39*Source!I39,2)</f>
        <v>98.3</v>
      </c>
      <c r="I102" s="16">
        <f>IF(Source!BA39&lt;&gt;0,Source!BA39,1)</f>
        <v>24.72</v>
      </c>
      <c r="J102" s="18">
        <f>Source!S39</f>
        <v>2429.9</v>
      </c>
      <c r="Q102">
        <f>H102</f>
        <v>98.3</v>
      </c>
    </row>
    <row r="103" spans="1:21" ht="13.5" x14ac:dyDescent="0.35">
      <c r="A103" s="15"/>
      <c r="B103" s="15"/>
      <c r="C103" s="15" t="s">
        <v>28</v>
      </c>
      <c r="D103" s="16"/>
      <c r="E103" s="16"/>
      <c r="F103" s="17">
        <f>Source!AM39</f>
        <v>2186.19</v>
      </c>
      <c r="G103" s="16" t="str">
        <f>IF(Source!DE39&lt;&gt;"",Source!DE39," ")</f>
        <v>)*1,25</v>
      </c>
      <c r="H103" s="18">
        <f>ROUND(Source!AD39*Source!I39,2)</f>
        <v>1852.8</v>
      </c>
      <c r="I103" s="16">
        <f>IF(Source!BB39&lt;&gt;0,Source!BB39,1)</f>
        <v>5.55</v>
      </c>
      <c r="J103" s="18">
        <f>Source!Q39</f>
        <v>10283.02</v>
      </c>
    </row>
    <row r="104" spans="1:21" ht="13.9" x14ac:dyDescent="0.4">
      <c r="A104" s="15"/>
      <c r="B104" s="15"/>
      <c r="C104" s="15" t="s">
        <v>29</v>
      </c>
      <c r="D104" s="16"/>
      <c r="E104" s="16"/>
      <c r="F104" s="17">
        <f>Source!AN39</f>
        <v>177.53</v>
      </c>
      <c r="G104" s="16" t="str">
        <f>IF(Source!DF39&lt;&gt;"",Source!DF39," ")</f>
        <v>)*1,25</v>
      </c>
      <c r="H104" s="19">
        <f>ROUND(Source!AE39*Source!I39,2)</f>
        <v>150.46</v>
      </c>
      <c r="I104" s="16">
        <f>IF(Source!BS39&lt;&gt;0,Source!BS39,1)</f>
        <v>24.72</v>
      </c>
      <c r="J104" s="19">
        <f>Source!R39</f>
        <v>3719.29</v>
      </c>
      <c r="Q104">
        <f>H104</f>
        <v>150.46</v>
      </c>
    </row>
    <row r="105" spans="1:21" ht="13.5" x14ac:dyDescent="0.35">
      <c r="A105" s="15"/>
      <c r="B105" s="15"/>
      <c r="C105" s="15" t="s">
        <v>30</v>
      </c>
      <c r="D105" s="16"/>
      <c r="E105" s="16"/>
      <c r="F105" s="17">
        <f>Source!AL39</f>
        <v>12.2</v>
      </c>
      <c r="G105" s="16" t="str">
        <f>IF(Source!DD39&lt;&gt;"",Source!DD39," ")</f>
        <v xml:space="preserve"> </v>
      </c>
      <c r="H105" s="18">
        <f>ROUND(Source!AC39*Source!I39,2)</f>
        <v>8.27</v>
      </c>
      <c r="I105" s="16">
        <f>IF(Source!BC39&lt;&gt;0,Source!BC39,1)</f>
        <v>6.8</v>
      </c>
      <c r="J105" s="18">
        <f>Source!P39</f>
        <v>56.25</v>
      </c>
    </row>
    <row r="106" spans="1:21" ht="27" x14ac:dyDescent="0.35">
      <c r="A106" s="15" t="str">
        <f>IF(Source!E40&lt;&gt;"",Source!E40,"")</f>
        <v>9,1</v>
      </c>
      <c r="B106" s="15" t="str">
        <f>IF(Source!F40&lt;&gt;"",Source!F40,"")</f>
        <v>408-0122</v>
      </c>
      <c r="C106" s="15" t="str">
        <f>IF(Source!G40&lt;&gt;"",Source!G40,"")</f>
        <v>Песок природный для строительных работ средний</v>
      </c>
      <c r="D106" s="16" t="str">
        <f>IF(Source!H40&lt;&gt;"",Source!H40,"")</f>
        <v>м3</v>
      </c>
      <c r="E106" s="16">
        <f>Source!I40</f>
        <v>74.58</v>
      </c>
      <c r="F106" s="17">
        <f>Source!AK40</f>
        <v>55.26</v>
      </c>
      <c r="G106" s="16"/>
      <c r="H106" s="18">
        <f>ROUND(Source!AC40*Source!I40,2)+ROUND(Source!AD40*Source!I40,2)+ROUND(Source!AF40*Source!I40,2)</f>
        <v>4121.29</v>
      </c>
      <c r="I106" s="16">
        <f>IF(Source!BC40&lt;&gt;0,Source!BC40,1)</f>
        <v>7.83</v>
      </c>
      <c r="J106" s="18">
        <f>Source!O40</f>
        <v>32269.71</v>
      </c>
      <c r="R106">
        <f>ROUND((Source!FX40/100)*((ROUND(Source!AF40*Source!I40,2)+ROUND(Source!AE40*Source!I40,2))),2)</f>
        <v>0</v>
      </c>
      <c r="S106">
        <f>Source!X40</f>
        <v>0</v>
      </c>
      <c r="T106">
        <f>ROUND((Source!FY40/100)*((ROUND(Source!AF40*Source!I40,2)+ROUND(Source!AE40*Source!I40,2))),2)</f>
        <v>0</v>
      </c>
      <c r="U106">
        <f>Source!Y40</f>
        <v>0</v>
      </c>
    </row>
    <row r="107" spans="1:21" ht="15.75" customHeight="1" x14ac:dyDescent="0.35">
      <c r="A107" s="15"/>
      <c r="B107" s="15"/>
      <c r="C107" s="15" t="str">
        <f>CONCATENATE("НР от ФОТ [к тек. уровню ",Source!FV39,"]")</f>
        <v>НР от ФОТ [к тек. уровню *0,85]</v>
      </c>
      <c r="D107" s="16" t="s">
        <v>31</v>
      </c>
      <c r="E107" s="16">
        <f>Source!BZ39</f>
        <v>142</v>
      </c>
      <c r="F107" s="37" t="str">
        <f>CONCATENATE(" )",Source!DL39,Source!FT39,"=",Source!FX39,"%")</f>
        <v xml:space="preserve"> )*0,9=127,8%</v>
      </c>
      <c r="G107" s="37"/>
      <c r="H107" s="18">
        <f>SUM(R101:R107)</f>
        <v>317.92</v>
      </c>
      <c r="I107" s="16">
        <f>Source!AT39</f>
        <v>109</v>
      </c>
      <c r="J107" s="18">
        <f>SUM(S101:S107)</f>
        <v>6702.62</v>
      </c>
    </row>
    <row r="108" spans="1:21" ht="15.75" customHeight="1" x14ac:dyDescent="0.35">
      <c r="A108" s="15"/>
      <c r="B108" s="15"/>
      <c r="C108" s="15" t="str">
        <f>CONCATENATE("СП от ФОТ [к тек. уровню ",Source!FW39,"]")</f>
        <v>СП от ФОТ [к тек. уровню *0,8]</v>
      </c>
      <c r="D108" s="16" t="s">
        <v>31</v>
      </c>
      <c r="E108" s="16">
        <f>Source!CA39</f>
        <v>95</v>
      </c>
      <c r="F108" s="37" t="str">
        <f>CONCATENATE(" )",Source!DM39,Source!FU39,"=",Source!FY39,"%")</f>
        <v xml:space="preserve"> )*0,85=80,75%</v>
      </c>
      <c r="G108" s="37"/>
      <c r="H108" s="18">
        <f>SUM(T101:T108)</f>
        <v>200.87</v>
      </c>
      <c r="I108" s="16">
        <f>Source!AU39</f>
        <v>65</v>
      </c>
      <c r="J108" s="18">
        <f>SUM(U101:U108)</f>
        <v>3996.97</v>
      </c>
    </row>
    <row r="109" spans="1:21" ht="13.5" x14ac:dyDescent="0.35">
      <c r="A109" s="20"/>
      <c r="B109" s="20"/>
      <c r="C109" s="20" t="s">
        <v>32</v>
      </c>
      <c r="D109" s="21" t="s">
        <v>33</v>
      </c>
      <c r="E109" s="21">
        <f>Source!AQ39</f>
        <v>15.72</v>
      </c>
      <c r="F109" s="22"/>
      <c r="G109" s="21" t="str">
        <f>IF(Source!DI39&lt;&gt;"",Source!DI39," ")</f>
        <v>)*1,15</v>
      </c>
      <c r="H109" s="23">
        <f>Source!U39</f>
        <v>12.256884000000001</v>
      </c>
      <c r="I109" s="21"/>
      <c r="J109" s="23"/>
    </row>
    <row r="110" spans="1:21" ht="13.9" x14ac:dyDescent="0.35">
      <c r="A110" s="24"/>
      <c r="B110" s="24"/>
      <c r="C110" s="24" t="s">
        <v>34</v>
      </c>
      <c r="D110" s="24"/>
      <c r="E110" s="24"/>
      <c r="F110" s="24"/>
      <c r="G110" s="38">
        <f>ROUND(Source!AC39*Source!I39,2)+ROUND(Source!AF39*Source!I39,2)+ROUND(Source!AD39*Source!I39,2)+SUM(H106:H108)</f>
        <v>6599.45</v>
      </c>
      <c r="H110" s="38"/>
      <c r="I110" s="38">
        <f>Source!CQ39*Source!I39+Source!CT39*Source!I39+Source!CR39*Source!I39+SUM(J106:J108)</f>
        <v>55738.461195630007</v>
      </c>
      <c r="J110" s="38"/>
      <c r="O110">
        <f>G110</f>
        <v>6599.45</v>
      </c>
      <c r="P110">
        <f>I110</f>
        <v>55738.461195630007</v>
      </c>
    </row>
    <row r="111" spans="1:21" ht="67.5" x14ac:dyDescent="0.35">
      <c r="A111" s="15" t="str">
        <f>IF(Source!E41&lt;&gt;"",Source!E41,"")</f>
        <v>10</v>
      </c>
      <c r="B111" s="15" t="s">
        <v>38</v>
      </c>
      <c r="C111" s="15" t="str">
        <f>IF(Source!G41&lt;&gt;"",Source!G41,"")</f>
        <v>Устройство подстилающих и выравнивающих слоев оснований из щебня</v>
      </c>
      <c r="D111" s="16" t="str">
        <f>IF(Source!H41&lt;&gt;"",Source!H41,"")</f>
        <v>100 м3 материала основания (в плотном теле)</v>
      </c>
      <c r="E111" s="16">
        <f>Source!I41</f>
        <v>0.5</v>
      </c>
      <c r="F111" s="17"/>
      <c r="G111" s="16"/>
      <c r="H111" s="18"/>
      <c r="I111" s="16" t="str">
        <f>IF(Source!BO41&lt;&gt;"",Source!BO41,"")</f>
        <v>27-04-001-4</v>
      </c>
      <c r="J111" s="18"/>
      <c r="R111">
        <f>ROUND((Source!FX41/100)*((ROUND(Source!AF41*Source!I41,2)+ROUND(Source!AE41*Source!I41,2))),2)</f>
        <v>366.44</v>
      </c>
      <c r="S111">
        <f>Source!X41</f>
        <v>7725.81</v>
      </c>
      <c r="T111">
        <f>ROUND((Source!FY41/100)*((ROUND(Source!AF41*Source!I41,2)+ROUND(Source!AE41*Source!I41,2))),2)</f>
        <v>231.53</v>
      </c>
      <c r="U111">
        <f>Source!Y41</f>
        <v>4607.1400000000003</v>
      </c>
    </row>
    <row r="112" spans="1:21" ht="13.5" x14ac:dyDescent="0.35">
      <c r="A112" s="15"/>
      <c r="B112" s="15"/>
      <c r="C112" s="15" t="s">
        <v>27</v>
      </c>
      <c r="D112" s="16"/>
      <c r="E112" s="16"/>
      <c r="F112" s="17">
        <f>Source!AO41</f>
        <v>195.7</v>
      </c>
      <c r="G112" s="16" t="str">
        <f>IF(Source!DG41&lt;&gt;"",Source!DG41," ")</f>
        <v>)*1,15</v>
      </c>
      <c r="H112" s="18">
        <f>ROUND(Source!AF41*Source!I41,2)</f>
        <v>112.53</v>
      </c>
      <c r="I112" s="16">
        <f>IF(Source!BA41&lt;&gt;0,Source!BA41,1)</f>
        <v>24.72</v>
      </c>
      <c r="J112" s="18">
        <f>Source!S41</f>
        <v>2781.68</v>
      </c>
      <c r="Q112">
        <f>H112</f>
        <v>112.53</v>
      </c>
    </row>
    <row r="113" spans="1:21" ht="13.5" x14ac:dyDescent="0.35">
      <c r="A113" s="15"/>
      <c r="B113" s="15"/>
      <c r="C113" s="15" t="s">
        <v>28</v>
      </c>
      <c r="D113" s="16"/>
      <c r="E113" s="16"/>
      <c r="F113" s="17">
        <f>Source!AM41</f>
        <v>3365.64</v>
      </c>
      <c r="G113" s="16" t="str">
        <f>IF(Source!DE41&lt;&gt;"",Source!DE41," ")</f>
        <v>)*1,25</v>
      </c>
      <c r="H113" s="18">
        <f>ROUND(Source!AD41*Source!I41,2)</f>
        <v>2103.5300000000002</v>
      </c>
      <c r="I113" s="16">
        <f>IF(Source!BB41&lt;&gt;0,Source!BB41,1)</f>
        <v>5.56</v>
      </c>
      <c r="J113" s="18">
        <f>Source!Q41</f>
        <v>11695.6</v>
      </c>
    </row>
    <row r="114" spans="1:21" ht="13.9" x14ac:dyDescent="0.4">
      <c r="A114" s="15"/>
      <c r="B114" s="15"/>
      <c r="C114" s="15" t="s">
        <v>29</v>
      </c>
      <c r="D114" s="16"/>
      <c r="E114" s="16"/>
      <c r="F114" s="17">
        <f>Source!AN41</f>
        <v>278.72000000000003</v>
      </c>
      <c r="G114" s="16" t="str">
        <f>IF(Source!DF41&lt;&gt;"",Source!DF41," ")</f>
        <v>)*1,25</v>
      </c>
      <c r="H114" s="19">
        <f>ROUND(Source!AE41*Source!I41,2)</f>
        <v>174.2</v>
      </c>
      <c r="I114" s="16">
        <f>IF(Source!BS41&lt;&gt;0,Source!BS41,1)</f>
        <v>24.72</v>
      </c>
      <c r="J114" s="19">
        <f>Source!R41</f>
        <v>4306.22</v>
      </c>
      <c r="Q114">
        <f>H114</f>
        <v>174.2</v>
      </c>
    </row>
    <row r="115" spans="1:21" ht="13.5" x14ac:dyDescent="0.35">
      <c r="A115" s="15"/>
      <c r="B115" s="15"/>
      <c r="C115" s="15" t="s">
        <v>30</v>
      </c>
      <c r="D115" s="16"/>
      <c r="E115" s="16"/>
      <c r="F115" s="17">
        <f>Source!AL41</f>
        <v>17.079999999999998</v>
      </c>
      <c r="G115" s="16" t="str">
        <f>IF(Source!DD41&lt;&gt;"",Source!DD41," ")</f>
        <v xml:space="preserve"> </v>
      </c>
      <c r="H115" s="18">
        <f>ROUND(Source!AC41*Source!I41,2)</f>
        <v>8.5399999999999991</v>
      </c>
      <c r="I115" s="16">
        <f>IF(Source!BC41&lt;&gt;0,Source!BC41,1)</f>
        <v>6.8</v>
      </c>
      <c r="J115" s="18">
        <f>Source!P41</f>
        <v>58.07</v>
      </c>
    </row>
    <row r="116" spans="1:21" ht="27" x14ac:dyDescent="0.35">
      <c r="A116" s="15" t="str">
        <f>IF(Source!E42&lt;&gt;"",Source!E42,"")</f>
        <v>10,1</v>
      </c>
      <c r="B116" s="15" t="str">
        <f>IF(Source!F42&lt;&gt;"",Source!F42,"")</f>
        <v>408-0011</v>
      </c>
      <c r="C116" s="15" t="str">
        <f>IF(Source!G42&lt;&gt;"",Source!G42,"")</f>
        <v>Щебень из природного камня для строительных работ марка 1000, фракция 20-40 мм</v>
      </c>
      <c r="D116" s="16" t="str">
        <f>IF(Source!H42&lt;&gt;"",Source!H42,"")</f>
        <v>м3</v>
      </c>
      <c r="E116" s="16">
        <f>Source!I42</f>
        <v>63</v>
      </c>
      <c r="F116" s="17">
        <f>Source!AK42</f>
        <v>118.6</v>
      </c>
      <c r="G116" s="16"/>
      <c r="H116" s="18">
        <f>ROUND(Source!AC42*Source!I42,2)+ROUND(Source!AD42*Source!I42,2)+ROUND(Source!AF42*Source!I42,2)</f>
        <v>7471.8</v>
      </c>
      <c r="I116" s="16">
        <f>IF(Source!BC42&lt;&gt;0,Source!BC42,1)</f>
        <v>11.44</v>
      </c>
      <c r="J116" s="18">
        <f>Source!O42</f>
        <v>85477.39</v>
      </c>
      <c r="R116">
        <f>ROUND((Source!FX42/100)*((ROUND(Source!AF42*Source!I42,2)+ROUND(Source!AE42*Source!I42,2))),2)</f>
        <v>0</v>
      </c>
      <c r="S116">
        <f>Source!X42</f>
        <v>0</v>
      </c>
      <c r="T116">
        <f>ROUND((Source!FY42/100)*((ROUND(Source!AF42*Source!I42,2)+ROUND(Source!AE42*Source!I42,2))),2)</f>
        <v>0</v>
      </c>
      <c r="U116">
        <f>Source!Y42</f>
        <v>0</v>
      </c>
    </row>
    <row r="117" spans="1:21" ht="15.75" customHeight="1" x14ac:dyDescent="0.35">
      <c r="A117" s="15"/>
      <c r="B117" s="15"/>
      <c r="C117" s="15" t="str">
        <f>CONCATENATE("НР от ФОТ [к тек. уровню ",Source!FV41,"]")</f>
        <v>НР от ФОТ [к тек. уровню *0,85]</v>
      </c>
      <c r="D117" s="16" t="s">
        <v>31</v>
      </c>
      <c r="E117" s="16">
        <f>Source!BZ41</f>
        <v>142</v>
      </c>
      <c r="F117" s="37" t="str">
        <f>CONCATENATE(" )",Source!DL41,Source!FT41,"=",Source!FX41,"%")</f>
        <v xml:space="preserve"> )*0,9=127,8%</v>
      </c>
      <c r="G117" s="37"/>
      <c r="H117" s="18">
        <f>SUM(R111:R117)</f>
        <v>366.44</v>
      </c>
      <c r="I117" s="16">
        <f>Source!AT41</f>
        <v>109</v>
      </c>
      <c r="J117" s="18">
        <f>SUM(S111:S117)</f>
        <v>7725.81</v>
      </c>
    </row>
    <row r="118" spans="1:21" ht="15.75" customHeight="1" x14ac:dyDescent="0.35">
      <c r="A118" s="15"/>
      <c r="B118" s="15"/>
      <c r="C118" s="15" t="str">
        <f>CONCATENATE("СП от ФОТ [к тек. уровню ",Source!FW41,"]")</f>
        <v>СП от ФОТ [к тек. уровню *0,8]</v>
      </c>
      <c r="D118" s="16" t="s">
        <v>31</v>
      </c>
      <c r="E118" s="16">
        <f>Source!CA41</f>
        <v>95</v>
      </c>
      <c r="F118" s="37" t="str">
        <f>CONCATENATE(" )",Source!DM41,Source!FU41,"=",Source!FY41,"%")</f>
        <v xml:space="preserve"> )*0,85=80,75%</v>
      </c>
      <c r="G118" s="37"/>
      <c r="H118" s="18">
        <f>SUM(T111:T118)</f>
        <v>231.53</v>
      </c>
      <c r="I118" s="16">
        <f>Source!AU41</f>
        <v>65</v>
      </c>
      <c r="J118" s="18">
        <f>SUM(U111:U118)</f>
        <v>4607.1400000000003</v>
      </c>
    </row>
    <row r="119" spans="1:21" ht="13.5" x14ac:dyDescent="0.35">
      <c r="A119" s="20"/>
      <c r="B119" s="20"/>
      <c r="C119" s="20" t="s">
        <v>32</v>
      </c>
      <c r="D119" s="21" t="s">
        <v>33</v>
      </c>
      <c r="E119" s="21">
        <f>Source!AQ41</f>
        <v>24.19</v>
      </c>
      <c r="F119" s="22"/>
      <c r="G119" s="21" t="str">
        <f>IF(Source!DI41&lt;&gt;"",Source!DI41," ")</f>
        <v>)*1,15</v>
      </c>
      <c r="H119" s="23">
        <f>Source!U41</f>
        <v>13.90925</v>
      </c>
      <c r="I119" s="21"/>
      <c r="J119" s="23"/>
    </row>
    <row r="120" spans="1:21" ht="13.9" x14ac:dyDescent="0.35">
      <c r="A120" s="24"/>
      <c r="B120" s="24"/>
      <c r="C120" s="24" t="s">
        <v>34</v>
      </c>
      <c r="D120" s="24"/>
      <c r="E120" s="24"/>
      <c r="F120" s="24"/>
      <c r="G120" s="38">
        <f>ROUND(Source!AC41*Source!I41,2)+ROUND(Source!AF41*Source!I41,2)+ROUND(Source!AD41*Source!I41,2)+SUM(H116:H118)</f>
        <v>10294.369999999999</v>
      </c>
      <c r="H120" s="38"/>
      <c r="I120" s="38">
        <f>Source!CQ41*Source!I41+Source!CT41*Source!I41+Source!CR41*Source!I41+SUM(J116:J118)</f>
        <v>112345.6908</v>
      </c>
      <c r="J120" s="38"/>
      <c r="O120">
        <f>G120</f>
        <v>10294.369999999999</v>
      </c>
      <c r="P120">
        <f>I120</f>
        <v>112345.6908</v>
      </c>
    </row>
    <row r="121" spans="1:21" ht="54" x14ac:dyDescent="0.35">
      <c r="A121" s="15" t="str">
        <f>IF(Source!E43&lt;&gt;"",Source!E43,"")</f>
        <v>11</v>
      </c>
      <c r="B121" s="15" t="s">
        <v>39</v>
      </c>
      <c r="C121" s="15" t="str">
        <f>IF(Source!G43&lt;&gt;"",Source!G43,"")</f>
        <v>Устройство дорожных покрытий из сборных шестигранных железобетонных плит</v>
      </c>
      <c r="D121" s="16" t="str">
        <f>IF(Source!H43&lt;&gt;"",Source!H43,"")</f>
        <v>100 м3 сборных железобетонных плит</v>
      </c>
      <c r="E121" s="16">
        <f>Source!I43</f>
        <v>1.0237499999999999</v>
      </c>
      <c r="F121" s="17"/>
      <c r="G121" s="16"/>
      <c r="H121" s="18"/>
      <c r="I121" s="16" t="str">
        <f>IF(Source!BO43&lt;&gt;"",Source!BO43,"")</f>
        <v>27-06-001-1</v>
      </c>
      <c r="J121" s="18"/>
      <c r="R121">
        <f>ROUND((Source!FX43/100)*((ROUND(Source!AF43*Source!I43,2)+ROUND(Source!AE43*Source!I43,2))),2)</f>
        <v>4699.99</v>
      </c>
      <c r="S121">
        <f>Source!X43</f>
        <v>99092.42</v>
      </c>
      <c r="T121">
        <f>ROUND((Source!FY43/100)*((ROUND(Source!AF43*Source!I43,2)+ROUND(Source!AE43*Source!I43,2))),2)</f>
        <v>2969.67</v>
      </c>
      <c r="U121">
        <f>Source!Y43</f>
        <v>59091.81</v>
      </c>
    </row>
    <row r="122" spans="1:21" ht="13.5" x14ac:dyDescent="0.35">
      <c r="A122" s="15"/>
      <c r="B122" s="15"/>
      <c r="C122" s="15" t="s">
        <v>27</v>
      </c>
      <c r="D122" s="16"/>
      <c r="E122" s="16"/>
      <c r="F122" s="17">
        <f>Source!AO43</f>
        <v>1867.21</v>
      </c>
      <c r="G122" s="16" t="str">
        <f>IF(Source!DG43&lt;&gt;"",Source!DG43," ")</f>
        <v>)*1,15</v>
      </c>
      <c r="H122" s="18">
        <f>ROUND(Source!AF43*Source!I43,2)</f>
        <v>2198.29</v>
      </c>
      <c r="I122" s="16">
        <f>IF(Source!BA43&lt;&gt;0,Source!BA43,1)</f>
        <v>24.72</v>
      </c>
      <c r="J122" s="18">
        <f>Source!S43</f>
        <v>54341.72</v>
      </c>
      <c r="Q122">
        <f>H122</f>
        <v>2198.29</v>
      </c>
    </row>
    <row r="123" spans="1:21" ht="13.5" x14ac:dyDescent="0.35">
      <c r="A123" s="15"/>
      <c r="B123" s="15"/>
      <c r="C123" s="15" t="s">
        <v>28</v>
      </c>
      <c r="D123" s="16"/>
      <c r="E123" s="16"/>
      <c r="F123" s="17">
        <f>Source!AM43</f>
        <v>12652.75</v>
      </c>
      <c r="G123" s="16" t="str">
        <f>IF(Source!DE43&lt;&gt;"",Source!DE43," ")</f>
        <v>)*1,25</v>
      </c>
      <c r="H123" s="18">
        <f>ROUND(Source!AD43*Source!I43,2)</f>
        <v>16191.57</v>
      </c>
      <c r="I123" s="16">
        <f>IF(Source!BB43&lt;&gt;0,Source!BB43,1)</f>
        <v>7.09</v>
      </c>
      <c r="J123" s="18">
        <f>Source!Q43</f>
        <v>114798.2</v>
      </c>
    </row>
    <row r="124" spans="1:21" ht="13.9" x14ac:dyDescent="0.4">
      <c r="A124" s="15"/>
      <c r="B124" s="15"/>
      <c r="C124" s="15" t="s">
        <v>29</v>
      </c>
      <c r="D124" s="16"/>
      <c r="E124" s="16"/>
      <c r="F124" s="17">
        <f>Source!AN43</f>
        <v>1156</v>
      </c>
      <c r="G124" s="16" t="str">
        <f>IF(Source!DF43&lt;&gt;"",Source!DF43," ")</f>
        <v>)*1,25</v>
      </c>
      <c r="H124" s="19">
        <f>ROUND(Source!AE43*Source!I43,2)</f>
        <v>1479.32</v>
      </c>
      <c r="I124" s="16">
        <f>IF(Source!BS43&lt;&gt;0,Source!BS43,1)</f>
        <v>24.72</v>
      </c>
      <c r="J124" s="19">
        <f>Source!R43</f>
        <v>36568.76</v>
      </c>
      <c r="Q124">
        <f>H124</f>
        <v>1479.32</v>
      </c>
    </row>
    <row r="125" spans="1:21" ht="13.5" x14ac:dyDescent="0.35">
      <c r="A125" s="15"/>
      <c r="B125" s="15"/>
      <c r="C125" s="15" t="s">
        <v>30</v>
      </c>
      <c r="D125" s="16"/>
      <c r="E125" s="16"/>
      <c r="F125" s="17">
        <f>Source!AL43</f>
        <v>1728.27</v>
      </c>
      <c r="G125" s="16" t="str">
        <f>IF(Source!DD43&lt;&gt;"",Source!DD43," ")</f>
        <v xml:space="preserve"> </v>
      </c>
      <c r="H125" s="18">
        <f>ROUND(Source!AC43*Source!I43,2)</f>
        <v>1769.32</v>
      </c>
      <c r="I125" s="16">
        <f>IF(Source!BC43&lt;&gt;0,Source!BC43,1)</f>
        <v>12.87</v>
      </c>
      <c r="J125" s="18">
        <f>Source!P43</f>
        <v>22771.1</v>
      </c>
    </row>
    <row r="126" spans="1:21" ht="40.5" x14ac:dyDescent="0.35">
      <c r="A126" s="15" t="str">
        <f>IF(Source!E44&lt;&gt;"",Source!E44,"")</f>
        <v>11,1</v>
      </c>
      <c r="B126" s="15" t="str">
        <f>IF(Source!F44&lt;&gt;"",Source!F44,"")</f>
        <v>403-5553</v>
      </c>
      <c r="C126" s="15" t="str">
        <f>IF(Source!G44&lt;&gt;"",Source!G44,"")</f>
        <v>Плиты дорожные 2П30.18.30 /бетон В22,5 (М300), объем 0,88 м3, расход арматуры 46,48 кг/ (ГОСТ 21924.2-84)</v>
      </c>
      <c r="D126" s="16" t="str">
        <f>IF(Source!H44&lt;&gt;"",Source!H44,"")</f>
        <v>шт.</v>
      </c>
      <c r="E126" s="16">
        <f>Source!I44</f>
        <v>65</v>
      </c>
      <c r="F126" s="17">
        <f>Source!AK44</f>
        <v>1358.15</v>
      </c>
      <c r="G126" s="16"/>
      <c r="H126" s="18">
        <f>ROUND(Source!AC44*Source!I44,2)+ROUND(Source!AD44*Source!I44,2)+ROUND(Source!AF44*Source!I44,2)</f>
        <v>88279.75</v>
      </c>
      <c r="I126" s="16">
        <f>IF(Source!BC44&lt;&gt;0,Source!BC44,1)</f>
        <v>5.51</v>
      </c>
      <c r="J126" s="18">
        <f>Source!O44</f>
        <v>486421.42</v>
      </c>
      <c r="R126">
        <f>ROUND((Source!FX44/100)*((ROUND(Source!AF44*Source!I44,2)+ROUND(Source!AE44*Source!I44,2))),2)</f>
        <v>0</v>
      </c>
      <c r="S126">
        <f>Source!X44</f>
        <v>0</v>
      </c>
      <c r="T126">
        <f>ROUND((Source!FY44/100)*((ROUND(Source!AF44*Source!I44,2)+ROUND(Source!AE44*Source!I44,2))),2)</f>
        <v>0</v>
      </c>
      <c r="U126">
        <f>Source!Y44</f>
        <v>0</v>
      </c>
    </row>
    <row r="127" spans="1:21" ht="15.75" customHeight="1" x14ac:dyDescent="0.35">
      <c r="A127" s="15"/>
      <c r="B127" s="15"/>
      <c r="C127" s="15" t="str">
        <f>CONCATENATE("НР от ФОТ [к тек. уровню ",Source!FV43,"]")</f>
        <v>НР от ФОТ [к тек. уровню *0,85]</v>
      </c>
      <c r="D127" s="16" t="s">
        <v>31</v>
      </c>
      <c r="E127" s="16">
        <f>Source!BZ43</f>
        <v>142</v>
      </c>
      <c r="F127" s="37" t="str">
        <f>CONCATENATE(" )",Source!DL43,Source!FT43,"=",Source!FX43,"%")</f>
        <v xml:space="preserve"> )*0,9=127,8%</v>
      </c>
      <c r="G127" s="37"/>
      <c r="H127" s="18">
        <f>SUM(R121:R127)</f>
        <v>4699.99</v>
      </c>
      <c r="I127" s="16">
        <f>Source!AT43</f>
        <v>109</v>
      </c>
      <c r="J127" s="18">
        <f>SUM(S121:S127)</f>
        <v>99092.42</v>
      </c>
    </row>
    <row r="128" spans="1:21" ht="15.75" customHeight="1" x14ac:dyDescent="0.35">
      <c r="A128" s="15"/>
      <c r="B128" s="15"/>
      <c r="C128" s="15" t="str">
        <f>CONCATENATE("СП от ФОТ [к тек. уровню ",Source!FW43,"]")</f>
        <v>СП от ФОТ [к тек. уровню *0,8]</v>
      </c>
      <c r="D128" s="16" t="s">
        <v>31</v>
      </c>
      <c r="E128" s="16">
        <f>Source!CA43</f>
        <v>95</v>
      </c>
      <c r="F128" s="37" t="str">
        <f>CONCATENATE(" )",Source!DM43,Source!FU43,"=",Source!FY43,"%")</f>
        <v xml:space="preserve"> )*0,85=80,75%</v>
      </c>
      <c r="G128" s="37"/>
      <c r="H128" s="18">
        <f>SUM(T121:T128)</f>
        <v>2969.67</v>
      </c>
      <c r="I128" s="16">
        <f>Source!AU43</f>
        <v>65</v>
      </c>
      <c r="J128" s="18">
        <f>SUM(U121:U128)</f>
        <v>59091.81</v>
      </c>
    </row>
    <row r="129" spans="1:21" ht="13.5" x14ac:dyDescent="0.35">
      <c r="A129" s="20"/>
      <c r="B129" s="20"/>
      <c r="C129" s="20" t="s">
        <v>32</v>
      </c>
      <c r="D129" s="21" t="s">
        <v>33</v>
      </c>
      <c r="E129" s="21">
        <f>Source!AQ43</f>
        <v>213.64</v>
      </c>
      <c r="F129" s="22"/>
      <c r="G129" s="21" t="str">
        <f>IF(Source!DI43&lt;&gt;"",Source!DI43," ")</f>
        <v>)*1,15</v>
      </c>
      <c r="H129" s="23">
        <f>Source!U43</f>
        <v>251.52104249999996</v>
      </c>
      <c r="I129" s="21"/>
      <c r="J129" s="23"/>
    </row>
    <row r="130" spans="1:21" ht="13.9" x14ac:dyDescent="0.35">
      <c r="A130" s="24"/>
      <c r="B130" s="24"/>
      <c r="C130" s="24" t="s">
        <v>34</v>
      </c>
      <c r="D130" s="24"/>
      <c r="E130" s="24"/>
      <c r="F130" s="24"/>
      <c r="G130" s="38">
        <f>ROUND(Source!AC43*Source!I43,2)+ROUND(Source!AF43*Source!I43,2)+ROUND(Source!AD43*Source!I43,2)+SUM(H126:H128)</f>
        <v>116108.59</v>
      </c>
      <c r="H130" s="38"/>
      <c r="I130" s="38">
        <f>Source!CQ43*Source!I43+Source!CT43*Source!I43+Source!CR43*Source!I43+SUM(J126:J128)</f>
        <v>836516.67599930614</v>
      </c>
      <c r="J130" s="38"/>
      <c r="O130">
        <f>G130</f>
        <v>116108.59</v>
      </c>
      <c r="P130">
        <f>I130</f>
        <v>836516.67599930614</v>
      </c>
    </row>
    <row r="131" spans="1:21" ht="40.5" x14ac:dyDescent="0.35">
      <c r="A131" s="15" t="str">
        <f>IF(Source!E45&lt;&gt;"",Source!E45,"")</f>
        <v>12</v>
      </c>
      <c r="B131" s="15" t="str">
        <f>IF(Source!F45&lt;&gt;"",Source!F45,"")</f>
        <v>27-03-008-4</v>
      </c>
      <c r="C131" s="15" t="str">
        <f>IF(Source!G45&lt;&gt;"",Source!G45,"")</f>
        <v>Разборка покрытий и оснований асфальтобетонных</v>
      </c>
      <c r="D131" s="16" t="str">
        <f>IF(Source!H45&lt;&gt;"",Source!H45,"")</f>
        <v>100 м3 конструкций</v>
      </c>
      <c r="E131" s="16">
        <f>Source!I45</f>
        <v>0.4602</v>
      </c>
      <c r="F131" s="17"/>
      <c r="G131" s="16"/>
      <c r="H131" s="18"/>
      <c r="I131" s="16" t="str">
        <f>IF(Source!BO45&lt;&gt;"",Source!BO45,"")</f>
        <v>27-03-008-4</v>
      </c>
      <c r="J131" s="18"/>
      <c r="R131">
        <f>ROUND((Source!FX45/100)*((ROUND(Source!AF45*Source!I45,2)+ROUND(Source!AE45*Source!I45,2))),2)</f>
        <v>1151.95</v>
      </c>
      <c r="S131">
        <f>Source!X45</f>
        <v>24287.25</v>
      </c>
      <c r="T131">
        <f>ROUND((Source!FY45/100)*((ROUND(Source!AF45*Source!I45,2)+ROUND(Source!AE45*Source!I45,2))),2)</f>
        <v>727.86</v>
      </c>
      <c r="U131">
        <f>Source!Y45</f>
        <v>14483.22</v>
      </c>
    </row>
    <row r="132" spans="1:21" ht="13.5" x14ac:dyDescent="0.35">
      <c r="A132" s="15"/>
      <c r="B132" s="15"/>
      <c r="C132" s="15" t="s">
        <v>27</v>
      </c>
      <c r="D132" s="16"/>
      <c r="E132" s="16"/>
      <c r="F132" s="17">
        <f>Source!AO45</f>
        <v>1494.14</v>
      </c>
      <c r="G132" s="16" t="str">
        <f>IF(Source!DG45&lt;&gt;"",Source!DG45," ")</f>
        <v xml:space="preserve"> </v>
      </c>
      <c r="H132" s="18">
        <f>ROUND(Source!AF45*Source!I45,2)</f>
        <v>687.6</v>
      </c>
      <c r="I132" s="16">
        <f>IF(Source!BA45&lt;&gt;0,Source!BA45,1)</f>
        <v>24.72</v>
      </c>
      <c r="J132" s="18">
        <f>Source!S45</f>
        <v>16997.55</v>
      </c>
      <c r="Q132">
        <f>H132</f>
        <v>687.6</v>
      </c>
    </row>
    <row r="133" spans="1:21" ht="13.5" x14ac:dyDescent="0.35">
      <c r="A133" s="15"/>
      <c r="B133" s="15"/>
      <c r="C133" s="15" t="s">
        <v>28</v>
      </c>
      <c r="D133" s="16"/>
      <c r="E133" s="16"/>
      <c r="F133" s="17">
        <f>Source!AM45</f>
        <v>2377.9</v>
      </c>
      <c r="G133" s="16" t="str">
        <f>IF(Source!DE45&lt;&gt;"",Source!DE45," ")</f>
        <v xml:space="preserve"> </v>
      </c>
      <c r="H133" s="18">
        <f>ROUND(Source!AD45*Source!I45,2)</f>
        <v>1094.31</v>
      </c>
      <c r="I133" s="16">
        <f>IF(Source!BB45&lt;&gt;0,Source!BB45,1)</f>
        <v>12.42</v>
      </c>
      <c r="J133" s="18">
        <f>Source!Q45</f>
        <v>13591.32</v>
      </c>
    </row>
    <row r="134" spans="1:21" ht="13.9" x14ac:dyDescent="0.4">
      <c r="A134" s="15"/>
      <c r="B134" s="15"/>
      <c r="C134" s="15" t="s">
        <v>29</v>
      </c>
      <c r="D134" s="16"/>
      <c r="E134" s="16"/>
      <c r="F134" s="17">
        <f>Source!AN45</f>
        <v>464.51</v>
      </c>
      <c r="G134" s="16" t="str">
        <f>IF(Source!DF45&lt;&gt;"",Source!DF45," ")</f>
        <v xml:space="preserve"> </v>
      </c>
      <c r="H134" s="19">
        <f>ROUND(Source!AE45*Source!I45,2)</f>
        <v>213.77</v>
      </c>
      <c r="I134" s="16">
        <f>IF(Source!BS45&lt;&gt;0,Source!BS45,1)</f>
        <v>24.72</v>
      </c>
      <c r="J134" s="19">
        <f>Source!R45</f>
        <v>5284.33</v>
      </c>
      <c r="Q134">
        <f>H134</f>
        <v>213.77</v>
      </c>
    </row>
    <row r="135" spans="1:21" ht="15.75" customHeight="1" x14ac:dyDescent="0.35">
      <c r="A135" s="15"/>
      <c r="B135" s="15"/>
      <c r="C135" s="15" t="str">
        <f>CONCATENATE("НР от ФОТ [к тек. уровню ",Source!FV45,"]")</f>
        <v>НР от ФОТ [к тек. уровню *0,85]</v>
      </c>
      <c r="D135" s="16" t="s">
        <v>31</v>
      </c>
      <c r="E135" s="16">
        <f>Source!BZ45</f>
        <v>142</v>
      </c>
      <c r="F135" s="37" t="str">
        <f>CONCATENATE(" )",Source!DL45,Source!FT45,"=",Source!FX45,"%")</f>
        <v xml:space="preserve"> )*0,9=127,8%</v>
      </c>
      <c r="G135" s="37"/>
      <c r="H135" s="18">
        <f>SUM(R131:R135)</f>
        <v>1151.95</v>
      </c>
      <c r="I135" s="16">
        <f>Source!AT45</f>
        <v>109</v>
      </c>
      <c r="J135" s="18">
        <f>SUM(S131:S135)</f>
        <v>24287.25</v>
      </c>
    </row>
    <row r="136" spans="1:21" ht="15.75" customHeight="1" x14ac:dyDescent="0.35">
      <c r="A136" s="15"/>
      <c r="B136" s="15"/>
      <c r="C136" s="15" t="str">
        <f>CONCATENATE("СП от ФОТ [к тек. уровню ",Source!FW45,"]")</f>
        <v>СП от ФОТ [к тек. уровню *0,8]</v>
      </c>
      <c r="D136" s="16" t="s">
        <v>31</v>
      </c>
      <c r="E136" s="16">
        <f>Source!CA45</f>
        <v>95</v>
      </c>
      <c r="F136" s="37" t="str">
        <f>CONCATENATE(" )",Source!DM45,Source!FU45,"=",Source!FY45,"%")</f>
        <v xml:space="preserve"> )*0,85=80,75%</v>
      </c>
      <c r="G136" s="37"/>
      <c r="H136" s="18">
        <f>SUM(T131:T136)</f>
        <v>727.86</v>
      </c>
      <c r="I136" s="16">
        <f>Source!AU45</f>
        <v>65</v>
      </c>
      <c r="J136" s="18">
        <f>SUM(U131:U136)</f>
        <v>14483.22</v>
      </c>
    </row>
    <row r="137" spans="1:21" ht="13.5" x14ac:dyDescent="0.35">
      <c r="A137" s="20"/>
      <c r="B137" s="20"/>
      <c r="C137" s="20" t="s">
        <v>32</v>
      </c>
      <c r="D137" s="21" t="s">
        <v>33</v>
      </c>
      <c r="E137" s="21">
        <f>Source!AQ45</f>
        <v>179.8</v>
      </c>
      <c r="F137" s="22"/>
      <c r="G137" s="21" t="str">
        <f>IF(Source!DI45&lt;&gt;"",Source!DI45," ")</f>
        <v xml:space="preserve"> </v>
      </c>
      <c r="H137" s="23">
        <f>Source!U45</f>
        <v>82.743960000000001</v>
      </c>
      <c r="I137" s="21"/>
      <c r="J137" s="23"/>
    </row>
    <row r="138" spans="1:21" ht="13.9" x14ac:dyDescent="0.35">
      <c r="A138" s="24"/>
      <c r="B138" s="24"/>
      <c r="C138" s="24" t="s">
        <v>34</v>
      </c>
      <c r="D138" s="24"/>
      <c r="E138" s="24"/>
      <c r="F138" s="24"/>
      <c r="G138" s="38">
        <f>ROUND(Source!AC45*Source!I45,2)+ROUND(Source!AF45*Source!I45,2)+ROUND(Source!AD45*Source!I45,2)+SUM(H135:H136)</f>
        <v>3661.72</v>
      </c>
      <c r="H138" s="38"/>
      <c r="I138" s="38">
        <f>Source!CQ45*Source!I45+Source!CT45*Source!I45+Source!CR45*Source!I45+SUM(J135:J136)</f>
        <v>69359.346779760002</v>
      </c>
      <c r="J138" s="38"/>
      <c r="O138">
        <f>G138</f>
        <v>3661.72</v>
      </c>
      <c r="P138">
        <f>I138</f>
        <v>69359.346779760002</v>
      </c>
    </row>
    <row r="139" spans="1:21" ht="67.5" x14ac:dyDescent="0.35">
      <c r="A139" s="15" t="str">
        <f>IF(Source!E46&lt;&gt;"",Source!E46,"")</f>
        <v>13</v>
      </c>
      <c r="B139" s="15" t="s">
        <v>37</v>
      </c>
      <c r="C139" s="15" t="str">
        <f>IF(Source!G46&lt;&gt;"",Source!G46,"")</f>
        <v>Устройство подстилающих и выравнивающих слоев оснований из песка</v>
      </c>
      <c r="D139" s="16" t="str">
        <f>IF(Source!H46&lt;&gt;"",Source!H46,"")</f>
        <v>100 м3 материала основания (в плотном теле)</v>
      </c>
      <c r="E139" s="16">
        <f>Source!I46</f>
        <v>0.17699999999999999</v>
      </c>
      <c r="F139" s="17"/>
      <c r="G139" s="16"/>
      <c r="H139" s="18"/>
      <c r="I139" s="16" t="str">
        <f>IF(Source!BO46&lt;&gt;"",Source!BO46,"")</f>
        <v>27-04-001-1</v>
      </c>
      <c r="J139" s="18"/>
      <c r="R139">
        <f>ROUND((Source!FX46/100)*((ROUND(Source!AF46*Source!I46,2)+ROUND(Source!AE46*Source!I46,2))),2)</f>
        <v>82.99</v>
      </c>
      <c r="S139">
        <f>Source!X46</f>
        <v>1749.79</v>
      </c>
      <c r="T139">
        <f>ROUND((Source!FY46/100)*((ROUND(Source!AF46*Source!I46,2)+ROUND(Source!AE46*Source!I46,2))),2)</f>
        <v>52.44</v>
      </c>
      <c r="U139">
        <f>Source!Y46</f>
        <v>1043.45</v>
      </c>
    </row>
    <row r="140" spans="1:21" ht="13.5" x14ac:dyDescent="0.35">
      <c r="A140" s="15"/>
      <c r="B140" s="15"/>
      <c r="C140" s="15" t="s">
        <v>27</v>
      </c>
      <c r="D140" s="16"/>
      <c r="E140" s="16"/>
      <c r="F140" s="17">
        <f>Source!AO46</f>
        <v>126.07</v>
      </c>
      <c r="G140" s="16" t="str">
        <f>IF(Source!DG46&lt;&gt;"",Source!DG46," ")</f>
        <v>)*1,15</v>
      </c>
      <c r="H140" s="18">
        <f>ROUND(Source!AF46*Source!I46,2)</f>
        <v>25.66</v>
      </c>
      <c r="I140" s="16">
        <f>IF(Source!BA46&lt;&gt;0,Source!BA46,1)</f>
        <v>24.72</v>
      </c>
      <c r="J140" s="18">
        <f>Source!S46</f>
        <v>634.35</v>
      </c>
      <c r="Q140">
        <f>H140</f>
        <v>25.66</v>
      </c>
    </row>
    <row r="141" spans="1:21" ht="13.5" x14ac:dyDescent="0.35">
      <c r="A141" s="15"/>
      <c r="B141" s="15"/>
      <c r="C141" s="15" t="s">
        <v>28</v>
      </c>
      <c r="D141" s="16"/>
      <c r="E141" s="16"/>
      <c r="F141" s="17">
        <f>Source!AM46</f>
        <v>2186.19</v>
      </c>
      <c r="G141" s="16" t="str">
        <f>IF(Source!DE46&lt;&gt;"",Source!DE46," ")</f>
        <v>)*1,25</v>
      </c>
      <c r="H141" s="18">
        <f>ROUND(Source!AD46*Source!I46,2)</f>
        <v>483.69</v>
      </c>
      <c r="I141" s="16">
        <f>IF(Source!BB46&lt;&gt;0,Source!BB46,1)</f>
        <v>5.55</v>
      </c>
      <c r="J141" s="18">
        <f>Source!Q46</f>
        <v>2684.5</v>
      </c>
    </row>
    <row r="142" spans="1:21" ht="13.9" x14ac:dyDescent="0.4">
      <c r="A142" s="15"/>
      <c r="B142" s="15"/>
      <c r="C142" s="15" t="s">
        <v>29</v>
      </c>
      <c r="D142" s="16"/>
      <c r="E142" s="16"/>
      <c r="F142" s="17">
        <f>Source!AN46</f>
        <v>177.53</v>
      </c>
      <c r="G142" s="16" t="str">
        <f>IF(Source!DF46&lt;&gt;"",Source!DF46," ")</f>
        <v>)*1,25</v>
      </c>
      <c r="H142" s="19">
        <f>ROUND(Source!AE46*Source!I46,2)</f>
        <v>39.28</v>
      </c>
      <c r="I142" s="16">
        <f>IF(Source!BS46&lt;&gt;0,Source!BS46,1)</f>
        <v>24.72</v>
      </c>
      <c r="J142" s="19">
        <f>Source!R46</f>
        <v>970.96</v>
      </c>
      <c r="Q142">
        <f>H142</f>
        <v>39.28</v>
      </c>
    </row>
    <row r="143" spans="1:21" ht="13.5" x14ac:dyDescent="0.35">
      <c r="A143" s="15"/>
      <c r="B143" s="15"/>
      <c r="C143" s="15" t="s">
        <v>30</v>
      </c>
      <c r="D143" s="16"/>
      <c r="E143" s="16"/>
      <c r="F143" s="17">
        <f>Source!AL46</f>
        <v>12.2</v>
      </c>
      <c r="G143" s="16" t="str">
        <f>IF(Source!DD46&lt;&gt;"",Source!DD46," ")</f>
        <v xml:space="preserve"> </v>
      </c>
      <c r="H143" s="18">
        <f>ROUND(Source!AC46*Source!I46,2)</f>
        <v>2.16</v>
      </c>
      <c r="I143" s="16">
        <f>IF(Source!BC46&lt;&gt;0,Source!BC46,1)</f>
        <v>6.8</v>
      </c>
      <c r="J143" s="18">
        <f>Source!P46</f>
        <v>14.68</v>
      </c>
    </row>
    <row r="144" spans="1:21" ht="27" x14ac:dyDescent="0.35">
      <c r="A144" s="15" t="str">
        <f>IF(Source!E47&lt;&gt;"",Source!E47,"")</f>
        <v>13,1</v>
      </c>
      <c r="B144" s="15" t="str">
        <f>IF(Source!F47&lt;&gt;"",Source!F47,"")</f>
        <v>408-0122</v>
      </c>
      <c r="C144" s="15" t="str">
        <f>IF(Source!G47&lt;&gt;"",Source!G47,"")</f>
        <v>Песок природный для строительных работ средний</v>
      </c>
      <c r="D144" s="16" t="str">
        <f>IF(Source!H47&lt;&gt;"",Source!H47,"")</f>
        <v>м3</v>
      </c>
      <c r="E144" s="16">
        <f>Source!I47</f>
        <v>19.47</v>
      </c>
      <c r="F144" s="17">
        <f>Source!AK47</f>
        <v>55.26</v>
      </c>
      <c r="G144" s="16"/>
      <c r="H144" s="18">
        <f>ROUND(Source!AC47*Source!I47,2)+ROUND(Source!AD47*Source!I47,2)+ROUND(Source!AF47*Source!I47,2)</f>
        <v>1075.9100000000001</v>
      </c>
      <c r="I144" s="16">
        <f>IF(Source!BC47&lt;&gt;0,Source!BC47,1)</f>
        <v>7.83</v>
      </c>
      <c r="J144" s="18">
        <f>Source!O47</f>
        <v>8424.39</v>
      </c>
      <c r="R144">
        <f>ROUND((Source!FX47/100)*((ROUND(Source!AF47*Source!I47,2)+ROUND(Source!AE47*Source!I47,2))),2)</f>
        <v>0</v>
      </c>
      <c r="S144">
        <f>Source!X47</f>
        <v>0</v>
      </c>
      <c r="T144">
        <f>ROUND((Source!FY47/100)*((ROUND(Source!AF47*Source!I47,2)+ROUND(Source!AE47*Source!I47,2))),2)</f>
        <v>0</v>
      </c>
      <c r="U144">
        <f>Source!Y47</f>
        <v>0</v>
      </c>
    </row>
    <row r="145" spans="1:21" ht="15.75" customHeight="1" x14ac:dyDescent="0.35">
      <c r="A145" s="15"/>
      <c r="B145" s="15"/>
      <c r="C145" s="15" t="str">
        <f>CONCATENATE("НР от ФОТ [к тек. уровню ",Source!FV46,"]")</f>
        <v>НР от ФОТ [к тек. уровню *0,85]</v>
      </c>
      <c r="D145" s="16" t="s">
        <v>31</v>
      </c>
      <c r="E145" s="16">
        <f>Source!BZ46</f>
        <v>142</v>
      </c>
      <c r="F145" s="37" t="str">
        <f>CONCATENATE(" )",Source!DL46,Source!FT46,"=",Source!FX46,"%")</f>
        <v xml:space="preserve"> )*0,9=127,8%</v>
      </c>
      <c r="G145" s="37"/>
      <c r="H145" s="18">
        <f>SUM(R139:R145)</f>
        <v>82.99</v>
      </c>
      <c r="I145" s="16">
        <f>Source!AT46</f>
        <v>109</v>
      </c>
      <c r="J145" s="18">
        <f>SUM(S139:S145)</f>
        <v>1749.79</v>
      </c>
    </row>
    <row r="146" spans="1:21" ht="15.75" customHeight="1" x14ac:dyDescent="0.35">
      <c r="A146" s="15"/>
      <c r="B146" s="15"/>
      <c r="C146" s="15" t="str">
        <f>CONCATENATE("СП от ФОТ [к тек. уровню ",Source!FW46,"]")</f>
        <v>СП от ФОТ [к тек. уровню *0,8]</v>
      </c>
      <c r="D146" s="16" t="s">
        <v>31</v>
      </c>
      <c r="E146" s="16">
        <f>Source!CA46</f>
        <v>95</v>
      </c>
      <c r="F146" s="37" t="str">
        <f>CONCATENATE(" )",Source!DM46,Source!FU46,"=",Source!FY46,"%")</f>
        <v xml:space="preserve"> )*0,85=80,75%</v>
      </c>
      <c r="G146" s="37"/>
      <c r="H146" s="18">
        <f>SUM(T139:T146)</f>
        <v>52.44</v>
      </c>
      <c r="I146" s="16">
        <f>Source!AU46</f>
        <v>65</v>
      </c>
      <c r="J146" s="18">
        <f>SUM(U139:U146)</f>
        <v>1043.45</v>
      </c>
    </row>
    <row r="147" spans="1:21" ht="13.5" x14ac:dyDescent="0.35">
      <c r="A147" s="20"/>
      <c r="B147" s="20"/>
      <c r="C147" s="20" t="s">
        <v>32</v>
      </c>
      <c r="D147" s="21" t="s">
        <v>33</v>
      </c>
      <c r="E147" s="21">
        <f>Source!AQ46</f>
        <v>15.72</v>
      </c>
      <c r="F147" s="22"/>
      <c r="G147" s="21" t="str">
        <f>IF(Source!DI46&lt;&gt;"",Source!DI46," ")</f>
        <v>)*1,15</v>
      </c>
      <c r="H147" s="23">
        <f>Source!U46</f>
        <v>3.1998059999999997</v>
      </c>
      <c r="I147" s="21"/>
      <c r="J147" s="23"/>
    </row>
    <row r="148" spans="1:21" ht="13.9" x14ac:dyDescent="0.35">
      <c r="A148" s="24"/>
      <c r="B148" s="24"/>
      <c r="C148" s="24" t="s">
        <v>34</v>
      </c>
      <c r="D148" s="24"/>
      <c r="E148" s="24"/>
      <c r="F148" s="24"/>
      <c r="G148" s="38">
        <f>ROUND(Source!AC46*Source!I46,2)+ROUND(Source!AF46*Source!I46,2)+ROUND(Source!AD46*Source!I46,2)+SUM(H144:H146)</f>
        <v>1722.8500000000001</v>
      </c>
      <c r="H148" s="38"/>
      <c r="I148" s="38">
        <f>Source!CQ46*Source!I46+Source!CT46*Source!I46+Source!CR46*Source!I46+SUM(J144:J146)</f>
        <v>14551.172082045001</v>
      </c>
      <c r="J148" s="38"/>
      <c r="O148">
        <f>G148</f>
        <v>1722.8500000000001</v>
      </c>
      <c r="P148">
        <f>I148</f>
        <v>14551.172082045001</v>
      </c>
    </row>
    <row r="149" spans="1:21" ht="67.5" x14ac:dyDescent="0.35">
      <c r="A149" s="15" t="str">
        <f>IF(Source!E48&lt;&gt;"",Source!E48,"")</f>
        <v>14</v>
      </c>
      <c r="B149" s="15" t="s">
        <v>38</v>
      </c>
      <c r="C149" s="15" t="str">
        <f>IF(Source!G48&lt;&gt;"",Source!G48,"")</f>
        <v>Устройство подстилающих и выравнивающих слоев оснований из щебня</v>
      </c>
      <c r="D149" s="16" t="str">
        <f>IF(Source!H48&lt;&gt;"",Source!H48,"")</f>
        <v>100 м3 материала основания (в плотном теле)</v>
      </c>
      <c r="E149" s="16">
        <f>Source!I48</f>
        <v>0.13300000000000001</v>
      </c>
      <c r="F149" s="17"/>
      <c r="G149" s="16"/>
      <c r="H149" s="18"/>
      <c r="I149" s="16" t="str">
        <f>IF(Source!BO48&lt;&gt;"",Source!BO48,"")</f>
        <v>27-04-001-4</v>
      </c>
      <c r="J149" s="18"/>
      <c r="R149">
        <f>ROUND((Source!FX48/100)*((ROUND(Source!AF48*Source!I48,2)+ROUND(Source!AE48*Source!I48,2))),2)</f>
        <v>97.47</v>
      </c>
      <c r="S149">
        <f>Source!X48</f>
        <v>2055.08</v>
      </c>
      <c r="T149">
        <f>ROUND((Source!FY48/100)*((ROUND(Source!AF48*Source!I48,2)+ROUND(Source!AE48*Source!I48,2))),2)</f>
        <v>61.59</v>
      </c>
      <c r="U149">
        <f>Source!Y48</f>
        <v>1225.5</v>
      </c>
    </row>
    <row r="150" spans="1:21" ht="13.5" x14ac:dyDescent="0.35">
      <c r="A150" s="15"/>
      <c r="B150" s="15"/>
      <c r="C150" s="15" t="s">
        <v>27</v>
      </c>
      <c r="D150" s="16"/>
      <c r="E150" s="16"/>
      <c r="F150" s="17">
        <f>Source!AO48</f>
        <v>195.7</v>
      </c>
      <c r="G150" s="16" t="str">
        <f>IF(Source!DG48&lt;&gt;"",Source!DG48," ")</f>
        <v>)*1,15</v>
      </c>
      <c r="H150" s="18">
        <f>ROUND(Source!AF48*Source!I48,2)</f>
        <v>29.93</v>
      </c>
      <c r="I150" s="16">
        <f>IF(Source!BA48&lt;&gt;0,Source!BA48,1)</f>
        <v>24.72</v>
      </c>
      <c r="J150" s="18">
        <f>Source!S48</f>
        <v>739.93</v>
      </c>
      <c r="Q150">
        <f>H150</f>
        <v>29.93</v>
      </c>
    </row>
    <row r="151" spans="1:21" ht="13.5" x14ac:dyDescent="0.35">
      <c r="A151" s="15"/>
      <c r="B151" s="15"/>
      <c r="C151" s="15" t="s">
        <v>28</v>
      </c>
      <c r="D151" s="16"/>
      <c r="E151" s="16"/>
      <c r="F151" s="17">
        <f>Source!AM48</f>
        <v>3365.64</v>
      </c>
      <c r="G151" s="16" t="str">
        <f>IF(Source!DE48&lt;&gt;"",Source!DE48," ")</f>
        <v>)*1,25</v>
      </c>
      <c r="H151" s="18">
        <f>ROUND(Source!AD48*Source!I48,2)</f>
        <v>559.54</v>
      </c>
      <c r="I151" s="16">
        <f>IF(Source!BB48&lt;&gt;0,Source!BB48,1)</f>
        <v>5.56</v>
      </c>
      <c r="J151" s="18">
        <f>Source!Q48</f>
        <v>3111.03</v>
      </c>
    </row>
    <row r="152" spans="1:21" ht="13.9" x14ac:dyDescent="0.4">
      <c r="A152" s="15"/>
      <c r="B152" s="15"/>
      <c r="C152" s="15" t="s">
        <v>29</v>
      </c>
      <c r="D152" s="16"/>
      <c r="E152" s="16"/>
      <c r="F152" s="17">
        <f>Source!AN48</f>
        <v>278.72000000000003</v>
      </c>
      <c r="G152" s="16" t="str">
        <f>IF(Source!DF48&lt;&gt;"",Source!DF48," ")</f>
        <v>)*1,25</v>
      </c>
      <c r="H152" s="19">
        <f>ROUND(Source!AE48*Source!I48,2)</f>
        <v>46.34</v>
      </c>
      <c r="I152" s="16">
        <f>IF(Source!BS48&lt;&gt;0,Source!BS48,1)</f>
        <v>24.72</v>
      </c>
      <c r="J152" s="19">
        <f>Source!R48</f>
        <v>1145.46</v>
      </c>
      <c r="Q152">
        <f>H152</f>
        <v>46.34</v>
      </c>
    </row>
    <row r="153" spans="1:21" ht="13.5" x14ac:dyDescent="0.35">
      <c r="A153" s="15"/>
      <c r="B153" s="15"/>
      <c r="C153" s="15" t="s">
        <v>30</v>
      </c>
      <c r="D153" s="16"/>
      <c r="E153" s="16"/>
      <c r="F153" s="17">
        <f>Source!AL48</f>
        <v>17.079999999999998</v>
      </c>
      <c r="G153" s="16" t="str">
        <f>IF(Source!DD48&lt;&gt;"",Source!DD48," ")</f>
        <v xml:space="preserve"> </v>
      </c>
      <c r="H153" s="18">
        <f>ROUND(Source!AC48*Source!I48,2)</f>
        <v>2.27</v>
      </c>
      <c r="I153" s="16">
        <f>IF(Source!BC48&lt;&gt;0,Source!BC48,1)</f>
        <v>6.8</v>
      </c>
      <c r="J153" s="18">
        <f>Source!P48</f>
        <v>15.45</v>
      </c>
    </row>
    <row r="154" spans="1:21" ht="27" x14ac:dyDescent="0.35">
      <c r="A154" s="15" t="str">
        <f>IF(Source!E49&lt;&gt;"",Source!E49,"")</f>
        <v>14,1</v>
      </c>
      <c r="B154" s="15" t="str">
        <f>IF(Source!F49&lt;&gt;"",Source!F49,"")</f>
        <v>408-0011</v>
      </c>
      <c r="C154" s="15" t="str">
        <f>IF(Source!G49&lt;&gt;"",Source!G49,"")</f>
        <v>Щебень из природного камня для строительных работ марка 1000, фракция 20-40 мм</v>
      </c>
      <c r="D154" s="16" t="str">
        <f>IF(Source!H49&lt;&gt;"",Source!H49,"")</f>
        <v>м3</v>
      </c>
      <c r="E154" s="16">
        <f>Source!I49</f>
        <v>16.758000000000003</v>
      </c>
      <c r="F154" s="17">
        <f>Source!AK49</f>
        <v>118.6</v>
      </c>
      <c r="G154" s="16"/>
      <c r="H154" s="18">
        <f>ROUND(Source!AC49*Source!I49,2)+ROUND(Source!AD49*Source!I49,2)+ROUND(Source!AF49*Source!I49,2)</f>
        <v>1987.5</v>
      </c>
      <c r="I154" s="16">
        <f>IF(Source!BC49&lt;&gt;0,Source!BC49,1)</f>
        <v>11.44</v>
      </c>
      <c r="J154" s="18">
        <f>Source!O49</f>
        <v>22736.99</v>
      </c>
      <c r="R154">
        <f>ROUND((Source!FX49/100)*((ROUND(Source!AF49*Source!I49,2)+ROUND(Source!AE49*Source!I49,2))),2)</f>
        <v>0</v>
      </c>
      <c r="S154">
        <f>Source!X49</f>
        <v>0</v>
      </c>
      <c r="T154">
        <f>ROUND((Source!FY49/100)*((ROUND(Source!AF49*Source!I49,2)+ROUND(Source!AE49*Source!I49,2))),2)</f>
        <v>0</v>
      </c>
      <c r="U154">
        <f>Source!Y49</f>
        <v>0</v>
      </c>
    </row>
    <row r="155" spans="1:21" ht="15.75" customHeight="1" x14ac:dyDescent="0.35">
      <c r="A155" s="15"/>
      <c r="B155" s="15"/>
      <c r="C155" s="15" t="str">
        <f>CONCATENATE("НР от ФОТ [к тек. уровню ",Source!FV48,"]")</f>
        <v>НР от ФОТ [к тек. уровню *0,85]</v>
      </c>
      <c r="D155" s="16" t="s">
        <v>31</v>
      </c>
      <c r="E155" s="16">
        <f>Source!BZ48</f>
        <v>142</v>
      </c>
      <c r="F155" s="37" t="str">
        <f>CONCATENATE(" )",Source!DL48,Source!FT48,"=",Source!FX48,"%")</f>
        <v xml:space="preserve"> )*0,9=127,8%</v>
      </c>
      <c r="G155" s="37"/>
      <c r="H155" s="18">
        <f>SUM(R149:R155)</f>
        <v>97.47</v>
      </c>
      <c r="I155" s="16">
        <f>Source!AT48</f>
        <v>109</v>
      </c>
      <c r="J155" s="18">
        <f>SUM(S149:S155)</f>
        <v>2055.08</v>
      </c>
    </row>
    <row r="156" spans="1:21" ht="15.75" customHeight="1" x14ac:dyDescent="0.35">
      <c r="A156" s="15"/>
      <c r="B156" s="15"/>
      <c r="C156" s="15" t="str">
        <f>CONCATENATE("СП от ФОТ [к тек. уровню ",Source!FW48,"]")</f>
        <v>СП от ФОТ [к тек. уровню *0,8]</v>
      </c>
      <c r="D156" s="16" t="s">
        <v>31</v>
      </c>
      <c r="E156" s="16">
        <f>Source!CA48</f>
        <v>95</v>
      </c>
      <c r="F156" s="37" t="str">
        <f>CONCATENATE(" )",Source!DM48,Source!FU48,"=",Source!FY48,"%")</f>
        <v xml:space="preserve"> )*0,85=80,75%</v>
      </c>
      <c r="G156" s="37"/>
      <c r="H156" s="18">
        <f>SUM(T149:T156)</f>
        <v>61.59</v>
      </c>
      <c r="I156" s="16">
        <f>Source!AU48</f>
        <v>65</v>
      </c>
      <c r="J156" s="18">
        <f>SUM(U149:U156)</f>
        <v>1225.5</v>
      </c>
    </row>
    <row r="157" spans="1:21" ht="13.5" x14ac:dyDescent="0.35">
      <c r="A157" s="20"/>
      <c r="B157" s="20"/>
      <c r="C157" s="20" t="s">
        <v>32</v>
      </c>
      <c r="D157" s="21" t="s">
        <v>33</v>
      </c>
      <c r="E157" s="21">
        <f>Source!AQ48</f>
        <v>24.19</v>
      </c>
      <c r="F157" s="22"/>
      <c r="G157" s="21" t="str">
        <f>IF(Source!DI48&lt;&gt;"",Source!DI48," ")</f>
        <v>)*1,15</v>
      </c>
      <c r="H157" s="23">
        <f>Source!U48</f>
        <v>3.6998605000000002</v>
      </c>
      <c r="I157" s="21"/>
      <c r="J157" s="23"/>
    </row>
    <row r="158" spans="1:21" ht="13.9" x14ac:dyDescent="0.35">
      <c r="A158" s="24"/>
      <c r="B158" s="24"/>
      <c r="C158" s="24" t="s">
        <v>34</v>
      </c>
      <c r="D158" s="24"/>
      <c r="E158" s="24"/>
      <c r="F158" s="24"/>
      <c r="G158" s="38">
        <f>ROUND(Source!AC48*Source!I48,2)+ROUND(Source!AF48*Source!I48,2)+ROUND(Source!AD48*Source!I48,2)+SUM(H154:H156)</f>
        <v>2738.3</v>
      </c>
      <c r="H158" s="38"/>
      <c r="I158" s="38">
        <f>Source!CQ48*Source!I48+Source!CT48*Source!I48+Source!CR48*Source!I48+SUM(J154:J156)</f>
        <v>29883.973312800001</v>
      </c>
      <c r="J158" s="38"/>
      <c r="O158">
        <f>G158</f>
        <v>2738.3</v>
      </c>
      <c r="P158">
        <f>I158</f>
        <v>29883.973312800001</v>
      </c>
    </row>
    <row r="159" spans="1:21" ht="54" x14ac:dyDescent="0.35">
      <c r="A159" s="15" t="str">
        <f>IF(Source!E50&lt;&gt;"",Source!E50,"")</f>
        <v>15</v>
      </c>
      <c r="B159" s="15" t="s">
        <v>39</v>
      </c>
      <c r="C159" s="15" t="str">
        <f>IF(Source!G50&lt;&gt;"",Source!G50,"")</f>
        <v>Устройство дорожных покрытий из сборных шестигранных железобетонных плит</v>
      </c>
      <c r="D159" s="16" t="str">
        <f>IF(Source!H50&lt;&gt;"",Source!H50,"")</f>
        <v>100 м3 сборных железобетонных плит</v>
      </c>
      <c r="E159" s="16">
        <f>Source!I50</f>
        <v>0.33074999999999999</v>
      </c>
      <c r="F159" s="17"/>
      <c r="G159" s="16"/>
      <c r="H159" s="18"/>
      <c r="I159" s="16" t="str">
        <f>IF(Source!BO50&lt;&gt;"",Source!BO50,"")</f>
        <v>27-06-001-1</v>
      </c>
      <c r="J159" s="18"/>
      <c r="R159">
        <f>ROUND((Source!FX50/100)*((ROUND(Source!AF50*Source!I50,2)+ROUND(Source!AE50*Source!I50,2))),2)</f>
        <v>1518.46</v>
      </c>
      <c r="S159">
        <f>Source!X50</f>
        <v>32014.48</v>
      </c>
      <c r="T159">
        <f>ROUND((Source!FY50/100)*((ROUND(Source!AF50*Source!I50,2)+ROUND(Source!AE50*Source!I50,2))),2)</f>
        <v>959.43</v>
      </c>
      <c r="U159">
        <f>Source!Y50</f>
        <v>19091.2</v>
      </c>
    </row>
    <row r="160" spans="1:21" ht="13.5" x14ac:dyDescent="0.35">
      <c r="A160" s="15"/>
      <c r="B160" s="15"/>
      <c r="C160" s="15" t="s">
        <v>27</v>
      </c>
      <c r="D160" s="16"/>
      <c r="E160" s="16"/>
      <c r="F160" s="17">
        <f>Source!AO50</f>
        <v>1867.21</v>
      </c>
      <c r="G160" s="16" t="str">
        <f>IF(Source!DG50&lt;&gt;"",Source!DG50," ")</f>
        <v>)*1,15</v>
      </c>
      <c r="H160" s="18">
        <f>ROUND(Source!AF50*Source!I50,2)</f>
        <v>710.22</v>
      </c>
      <c r="I160" s="16">
        <f>IF(Source!BA50&lt;&gt;0,Source!BA50,1)</f>
        <v>24.72</v>
      </c>
      <c r="J160" s="18">
        <f>Source!S50</f>
        <v>17556.560000000001</v>
      </c>
      <c r="Q160">
        <f>H160</f>
        <v>710.22</v>
      </c>
    </row>
    <row r="161" spans="1:21" ht="13.5" x14ac:dyDescent="0.35">
      <c r="A161" s="15"/>
      <c r="B161" s="15"/>
      <c r="C161" s="15" t="s">
        <v>28</v>
      </c>
      <c r="D161" s="16"/>
      <c r="E161" s="16"/>
      <c r="F161" s="17">
        <f>Source!AM50</f>
        <v>12652.75</v>
      </c>
      <c r="G161" s="16" t="str">
        <f>IF(Source!DE50&lt;&gt;"",Source!DE50," ")</f>
        <v>)*1,25</v>
      </c>
      <c r="H161" s="18">
        <f>ROUND(Source!AD50*Source!I50,2)</f>
        <v>5231.12</v>
      </c>
      <c r="I161" s="16">
        <f>IF(Source!BB50&lt;&gt;0,Source!BB50,1)</f>
        <v>7.09</v>
      </c>
      <c r="J161" s="18">
        <f>Source!Q50</f>
        <v>37088.65</v>
      </c>
    </row>
    <row r="162" spans="1:21" ht="13.9" x14ac:dyDescent="0.4">
      <c r="A162" s="15"/>
      <c r="B162" s="15"/>
      <c r="C162" s="15" t="s">
        <v>29</v>
      </c>
      <c r="D162" s="16"/>
      <c r="E162" s="16"/>
      <c r="F162" s="17">
        <f>Source!AN50</f>
        <v>1156</v>
      </c>
      <c r="G162" s="16" t="str">
        <f>IF(Source!DF50&lt;&gt;"",Source!DF50," ")</f>
        <v>)*1,25</v>
      </c>
      <c r="H162" s="19">
        <f>ROUND(Source!AE50*Source!I50,2)</f>
        <v>477.93</v>
      </c>
      <c r="I162" s="16">
        <f>IF(Source!BS50&lt;&gt;0,Source!BS50,1)</f>
        <v>24.72</v>
      </c>
      <c r="J162" s="19">
        <f>Source!R50</f>
        <v>11814.52</v>
      </c>
      <c r="Q162">
        <f>H162</f>
        <v>477.93</v>
      </c>
    </row>
    <row r="163" spans="1:21" ht="13.5" x14ac:dyDescent="0.35">
      <c r="A163" s="15"/>
      <c r="B163" s="15"/>
      <c r="C163" s="15" t="s">
        <v>30</v>
      </c>
      <c r="D163" s="16"/>
      <c r="E163" s="16"/>
      <c r="F163" s="17">
        <f>Source!AL50</f>
        <v>1728.27</v>
      </c>
      <c r="G163" s="16" t="str">
        <f>IF(Source!DD50&lt;&gt;"",Source!DD50," ")</f>
        <v xml:space="preserve"> </v>
      </c>
      <c r="H163" s="18">
        <f>ROUND(Source!AC50*Source!I50,2)</f>
        <v>571.63</v>
      </c>
      <c r="I163" s="16">
        <f>IF(Source!BC50&lt;&gt;0,Source!BC50,1)</f>
        <v>12.87</v>
      </c>
      <c r="J163" s="18">
        <f>Source!P50</f>
        <v>7356.82</v>
      </c>
    </row>
    <row r="164" spans="1:21" ht="40.5" x14ac:dyDescent="0.35">
      <c r="A164" s="15" t="str">
        <f>IF(Source!E51&lt;&gt;"",Source!E51,"")</f>
        <v>15,1</v>
      </c>
      <c r="B164" s="15" t="str">
        <f>IF(Source!F51&lt;&gt;"",Source!F51,"")</f>
        <v>403-5553</v>
      </c>
      <c r="C164" s="15" t="str">
        <f>IF(Source!G51&lt;&gt;"",Source!G51,"")</f>
        <v>Плиты дорожные 2П30.18.30 /бетон В22,5 (М300), объем 0,88 м3, расход арматуры 46,48 кг/ (ГОСТ 21924.2-84)</v>
      </c>
      <c r="D164" s="16" t="str">
        <f>IF(Source!H51&lt;&gt;"",Source!H51,"")</f>
        <v>шт.</v>
      </c>
      <c r="E164" s="16">
        <f>Source!I51</f>
        <v>21.000000000000004</v>
      </c>
      <c r="F164" s="17">
        <f>Source!AK51</f>
        <v>1358.15</v>
      </c>
      <c r="G164" s="16"/>
      <c r="H164" s="18">
        <f>ROUND(Source!AC51*Source!I51,2)+ROUND(Source!AD51*Source!I51,2)+ROUND(Source!AF51*Source!I51,2)</f>
        <v>28521.15</v>
      </c>
      <c r="I164" s="16">
        <f>IF(Source!BC51&lt;&gt;0,Source!BC51,1)</f>
        <v>5.51</v>
      </c>
      <c r="J164" s="18">
        <f>Source!O51</f>
        <v>157151.54</v>
      </c>
      <c r="R164">
        <f>ROUND((Source!FX51/100)*((ROUND(Source!AF51*Source!I51,2)+ROUND(Source!AE51*Source!I51,2))),2)</f>
        <v>0</v>
      </c>
      <c r="S164">
        <f>Source!X51</f>
        <v>0</v>
      </c>
      <c r="T164">
        <f>ROUND((Source!FY51/100)*((ROUND(Source!AF51*Source!I51,2)+ROUND(Source!AE51*Source!I51,2))),2)</f>
        <v>0</v>
      </c>
      <c r="U164">
        <f>Source!Y51</f>
        <v>0</v>
      </c>
    </row>
    <row r="165" spans="1:21" ht="15.75" customHeight="1" x14ac:dyDescent="0.35">
      <c r="A165" s="15"/>
      <c r="B165" s="15"/>
      <c r="C165" s="15" t="str">
        <f>CONCATENATE("НР от ФОТ [к тек. уровню ",Source!FV50,"]")</f>
        <v>НР от ФОТ [к тек. уровню *0,85]</v>
      </c>
      <c r="D165" s="16" t="s">
        <v>31</v>
      </c>
      <c r="E165" s="16">
        <f>Source!BZ50</f>
        <v>142</v>
      </c>
      <c r="F165" s="37" t="str">
        <f>CONCATENATE(" )",Source!DL50,Source!FT50,"=",Source!FX50,"%")</f>
        <v xml:space="preserve"> )*0,9=127,8%</v>
      </c>
      <c r="G165" s="37"/>
      <c r="H165" s="18">
        <f>SUM(R159:R165)</f>
        <v>1518.46</v>
      </c>
      <c r="I165" s="16">
        <f>Source!AT50</f>
        <v>109</v>
      </c>
      <c r="J165" s="18">
        <f>SUM(S159:S165)</f>
        <v>32014.48</v>
      </c>
    </row>
    <row r="166" spans="1:21" ht="15.75" customHeight="1" x14ac:dyDescent="0.35">
      <c r="A166" s="15"/>
      <c r="B166" s="15"/>
      <c r="C166" s="15" t="str">
        <f>CONCATENATE("СП от ФОТ [к тек. уровню ",Source!FW50,"]")</f>
        <v>СП от ФОТ [к тек. уровню *0,8]</v>
      </c>
      <c r="D166" s="16" t="s">
        <v>31</v>
      </c>
      <c r="E166" s="16">
        <f>Source!CA50</f>
        <v>95</v>
      </c>
      <c r="F166" s="37" t="str">
        <f>CONCATENATE(" )",Source!DM50,Source!FU50,"=",Source!FY50,"%")</f>
        <v xml:space="preserve"> )*0,85=80,75%</v>
      </c>
      <c r="G166" s="37"/>
      <c r="H166" s="18">
        <f>SUM(T159:T166)</f>
        <v>959.43</v>
      </c>
      <c r="I166" s="16">
        <f>Source!AU50</f>
        <v>65</v>
      </c>
      <c r="J166" s="18">
        <f>SUM(U159:U166)</f>
        <v>19091.2</v>
      </c>
    </row>
    <row r="167" spans="1:21" ht="13.5" x14ac:dyDescent="0.35">
      <c r="A167" s="20"/>
      <c r="B167" s="20"/>
      <c r="C167" s="20" t="s">
        <v>32</v>
      </c>
      <c r="D167" s="21" t="s">
        <v>33</v>
      </c>
      <c r="E167" s="21">
        <f>Source!AQ50</f>
        <v>213.64</v>
      </c>
      <c r="F167" s="22"/>
      <c r="G167" s="21" t="str">
        <f>IF(Source!DI50&lt;&gt;"",Source!DI50," ")</f>
        <v>)*1,15</v>
      </c>
      <c r="H167" s="23">
        <f>Source!U50</f>
        <v>81.260644499999984</v>
      </c>
      <c r="I167" s="21"/>
      <c r="J167" s="23"/>
    </row>
    <row r="168" spans="1:21" ht="13.9" x14ac:dyDescent="0.35">
      <c r="A168" s="24"/>
      <c r="B168" s="24"/>
      <c r="C168" s="24" t="s">
        <v>34</v>
      </c>
      <c r="D168" s="24"/>
      <c r="E168" s="24"/>
      <c r="F168" s="24"/>
      <c r="G168" s="38">
        <f>ROUND(Source!AC50*Source!I50,2)+ROUND(Source!AF50*Source!I50,2)+ROUND(Source!AD50*Source!I50,2)+SUM(H164:H166)</f>
        <v>37512.01</v>
      </c>
      <c r="H168" s="38"/>
      <c r="I168" s="38">
        <f>Source!CQ50*Source!I50+Source!CT50*Source!I50+Source!CR50*Source!I50+SUM(J164:J166)</f>
        <v>270259.24378439126</v>
      </c>
      <c r="J168" s="38"/>
      <c r="O168">
        <f>G168</f>
        <v>37512.01</v>
      </c>
      <c r="P168">
        <f>I168</f>
        <v>270259.24378439126</v>
      </c>
    </row>
    <row r="169" spans="1:21" ht="54" x14ac:dyDescent="0.35">
      <c r="A169" s="15" t="str">
        <f>IF(Source!E52&lt;&gt;"",Source!E52,"")</f>
        <v>16</v>
      </c>
      <c r="B169" s="15" t="s">
        <v>39</v>
      </c>
      <c r="C169" s="15" t="str">
        <f>IF(Source!G52&lt;&gt;"",Source!G52,"")</f>
        <v>Устройство дорожных покрытий из сборных шестигранных железобетонных плит</v>
      </c>
      <c r="D169" s="16" t="str">
        <f>IF(Source!H52&lt;&gt;"",Source!H52,"")</f>
        <v>100 м3 сборных железобетонных плит</v>
      </c>
      <c r="E169" s="16">
        <f>Source!I52</f>
        <v>7.5600000000000001E-2</v>
      </c>
      <c r="F169" s="17"/>
      <c r="G169" s="16"/>
      <c r="H169" s="18"/>
      <c r="I169" s="16" t="str">
        <f>IF(Source!BO52&lt;&gt;"",Source!BO52,"")</f>
        <v>27-06-001-1</v>
      </c>
      <c r="J169" s="18"/>
      <c r="R169">
        <f>ROUND((Source!FX52/100)*((ROUND(Source!AF52*Source!I52,2)+ROUND(Source!AE52*Source!I52,2))),2)</f>
        <v>347.08</v>
      </c>
      <c r="S169">
        <f>Source!X52</f>
        <v>7317.6</v>
      </c>
      <c r="T169">
        <f>ROUND((Source!FY52/100)*((ROUND(Source!AF52*Source!I52,2)+ROUND(Source!AE52*Source!I52,2))),2)</f>
        <v>219.3</v>
      </c>
      <c r="U169">
        <f>Source!Y52</f>
        <v>4363.7</v>
      </c>
    </row>
    <row r="170" spans="1:21" ht="13.5" x14ac:dyDescent="0.35">
      <c r="A170" s="15"/>
      <c r="B170" s="15"/>
      <c r="C170" s="15" t="s">
        <v>27</v>
      </c>
      <c r="D170" s="16"/>
      <c r="E170" s="16"/>
      <c r="F170" s="17">
        <f>Source!AO52</f>
        <v>1867.21</v>
      </c>
      <c r="G170" s="16" t="str">
        <f>IF(Source!DG52&lt;&gt;"",Source!DG52," ")</f>
        <v>)*1,15</v>
      </c>
      <c r="H170" s="18">
        <f>ROUND(Source!AF52*Source!I52,2)</f>
        <v>162.34</v>
      </c>
      <c r="I170" s="16">
        <f>IF(Source!BA52&lt;&gt;0,Source!BA52,1)</f>
        <v>24.72</v>
      </c>
      <c r="J170" s="18">
        <f>Source!S52</f>
        <v>4012.93</v>
      </c>
      <c r="Q170">
        <f>H170</f>
        <v>162.34</v>
      </c>
    </row>
    <row r="171" spans="1:21" ht="13.5" x14ac:dyDescent="0.35">
      <c r="A171" s="15"/>
      <c r="B171" s="15"/>
      <c r="C171" s="15" t="s">
        <v>28</v>
      </c>
      <c r="D171" s="16"/>
      <c r="E171" s="16"/>
      <c r="F171" s="17">
        <f>Source!AM52</f>
        <v>12652.75</v>
      </c>
      <c r="G171" s="16" t="str">
        <f>IF(Source!DE52&lt;&gt;"",Source!DE52," ")</f>
        <v>)*1,25</v>
      </c>
      <c r="H171" s="18">
        <f>ROUND(Source!AD52*Source!I52,2)</f>
        <v>1195.68</v>
      </c>
      <c r="I171" s="16">
        <f>IF(Source!BB52&lt;&gt;0,Source!BB52,1)</f>
        <v>7.09</v>
      </c>
      <c r="J171" s="18">
        <f>Source!Q52</f>
        <v>8477.41</v>
      </c>
    </row>
    <row r="172" spans="1:21" ht="13.9" x14ac:dyDescent="0.4">
      <c r="A172" s="15"/>
      <c r="B172" s="15"/>
      <c r="C172" s="15" t="s">
        <v>29</v>
      </c>
      <c r="D172" s="16"/>
      <c r="E172" s="16"/>
      <c r="F172" s="17">
        <f>Source!AN52</f>
        <v>1156</v>
      </c>
      <c r="G172" s="16" t="str">
        <f>IF(Source!DF52&lt;&gt;"",Source!DF52," ")</f>
        <v>)*1,25</v>
      </c>
      <c r="H172" s="19">
        <f>ROUND(Source!AE52*Source!I52,2)</f>
        <v>109.24</v>
      </c>
      <c r="I172" s="16">
        <f>IF(Source!BS52&lt;&gt;0,Source!BS52,1)</f>
        <v>24.72</v>
      </c>
      <c r="J172" s="19">
        <f>Source!R52</f>
        <v>2700.46</v>
      </c>
      <c r="Q172">
        <f>H172</f>
        <v>109.24</v>
      </c>
    </row>
    <row r="173" spans="1:21" ht="13.5" x14ac:dyDescent="0.35">
      <c r="A173" s="15"/>
      <c r="B173" s="15"/>
      <c r="C173" s="15" t="s">
        <v>30</v>
      </c>
      <c r="D173" s="16"/>
      <c r="E173" s="16"/>
      <c r="F173" s="17">
        <f>Source!AL52</f>
        <v>1728.27</v>
      </c>
      <c r="G173" s="16" t="str">
        <f>IF(Source!DD52&lt;&gt;"",Source!DD52," ")</f>
        <v xml:space="preserve"> </v>
      </c>
      <c r="H173" s="18">
        <f>ROUND(Source!AC52*Source!I52,2)</f>
        <v>130.66</v>
      </c>
      <c r="I173" s="16">
        <f>IF(Source!BC52&lt;&gt;0,Source!BC52,1)</f>
        <v>12.87</v>
      </c>
      <c r="J173" s="18">
        <f>Source!P52</f>
        <v>1681.56</v>
      </c>
    </row>
    <row r="174" spans="1:21" ht="40.5" x14ac:dyDescent="0.35">
      <c r="A174" s="15" t="str">
        <f>IF(Source!E53&lt;&gt;"",Source!E53,"")</f>
        <v>16,1</v>
      </c>
      <c r="B174" s="15" t="str">
        <f>IF(Source!F53&lt;&gt;"",Source!F53,"")</f>
        <v>403-5552</v>
      </c>
      <c r="C174" s="15" t="str">
        <f>IF(Source!G53&lt;&gt;"",Source!G53,"")</f>
        <v>Плиты дорожные 2П30.18-10 /бетон В22,5 (М300), объем 0,88 м3, расход арматуры 37,24 кг/ (ГОСТ 21924.0-3-84)</v>
      </c>
      <c r="D174" s="16" t="str">
        <f>IF(Source!H53&lt;&gt;"",Source!H53,"")</f>
        <v>шт.</v>
      </c>
      <c r="E174" s="16">
        <f>Source!I53</f>
        <v>7</v>
      </c>
      <c r="F174" s="17">
        <f>Source!AK53</f>
        <v>1278.28</v>
      </c>
      <c r="G174" s="16"/>
      <c r="H174" s="18">
        <f>ROUND(Source!AC53*Source!I53,2)+ROUND(Source!AD53*Source!I53,2)+ROUND(Source!AF53*Source!I53,2)</f>
        <v>8947.9599999999991</v>
      </c>
      <c r="I174" s="16">
        <f>IF(Source!BC53&lt;&gt;0,Source!BC53,1)</f>
        <v>5.59</v>
      </c>
      <c r="J174" s="18">
        <f>Source!O53</f>
        <v>50019.1</v>
      </c>
      <c r="R174">
        <f>ROUND((Source!FX53/100)*((ROUND(Source!AF53*Source!I53,2)+ROUND(Source!AE53*Source!I53,2))),2)</f>
        <v>0</v>
      </c>
      <c r="S174">
        <f>Source!X53</f>
        <v>0</v>
      </c>
      <c r="T174">
        <f>ROUND((Source!FY53/100)*((ROUND(Source!AF53*Source!I53,2)+ROUND(Source!AE53*Source!I53,2))),2)</f>
        <v>0</v>
      </c>
      <c r="U174">
        <f>Source!Y53</f>
        <v>0</v>
      </c>
    </row>
    <row r="175" spans="1:21" ht="15.75" customHeight="1" x14ac:dyDescent="0.35">
      <c r="A175" s="15"/>
      <c r="B175" s="15"/>
      <c r="C175" s="15" t="str">
        <f>CONCATENATE("НР от ФОТ [к тек. уровню ",Source!FV52,"]")</f>
        <v>НР от ФОТ [к тек. уровню *0,85]</v>
      </c>
      <c r="D175" s="16" t="s">
        <v>31</v>
      </c>
      <c r="E175" s="16">
        <f>Source!BZ52</f>
        <v>142</v>
      </c>
      <c r="F175" s="37" t="str">
        <f>CONCATENATE(" )",Source!DL52,Source!FT52,"=",Source!FX52,"%")</f>
        <v xml:space="preserve"> )*0,9=127,8%</v>
      </c>
      <c r="G175" s="37"/>
      <c r="H175" s="18">
        <f>SUM(R169:R175)</f>
        <v>347.08</v>
      </c>
      <c r="I175" s="16">
        <f>Source!AT52</f>
        <v>109</v>
      </c>
      <c r="J175" s="18">
        <f>SUM(S169:S175)</f>
        <v>7317.6</v>
      </c>
    </row>
    <row r="176" spans="1:21" ht="15.75" customHeight="1" x14ac:dyDescent="0.35">
      <c r="A176" s="15"/>
      <c r="B176" s="15"/>
      <c r="C176" s="15" t="str">
        <f>CONCATENATE("СП от ФОТ [к тек. уровню ",Source!FW52,"]")</f>
        <v>СП от ФОТ [к тек. уровню *0,8]</v>
      </c>
      <c r="D176" s="16" t="s">
        <v>31</v>
      </c>
      <c r="E176" s="16">
        <f>Source!CA52</f>
        <v>95</v>
      </c>
      <c r="F176" s="37" t="str">
        <f>CONCATENATE(" )",Source!DM52,Source!FU52,"=",Source!FY52,"%")</f>
        <v xml:space="preserve"> )*0,85=80,75%</v>
      </c>
      <c r="G176" s="37"/>
      <c r="H176" s="18">
        <f>SUM(T169:T176)</f>
        <v>219.3</v>
      </c>
      <c r="I176" s="16">
        <f>Source!AU52</f>
        <v>65</v>
      </c>
      <c r="J176" s="18">
        <f>SUM(U169:U176)</f>
        <v>4363.7</v>
      </c>
    </row>
    <row r="177" spans="1:21" ht="13.5" x14ac:dyDescent="0.35">
      <c r="A177" s="20"/>
      <c r="B177" s="20"/>
      <c r="C177" s="20" t="s">
        <v>32</v>
      </c>
      <c r="D177" s="21" t="s">
        <v>33</v>
      </c>
      <c r="E177" s="21">
        <f>Source!AQ52</f>
        <v>213.64</v>
      </c>
      <c r="F177" s="22"/>
      <c r="G177" s="21" t="str">
        <f>IF(Source!DI52&lt;&gt;"",Source!DI52," ")</f>
        <v>)*1,15</v>
      </c>
      <c r="H177" s="23">
        <f>Source!U52</f>
        <v>18.573861599999997</v>
      </c>
      <c r="I177" s="21"/>
      <c r="J177" s="23"/>
    </row>
    <row r="178" spans="1:21" ht="13.9" x14ac:dyDescent="0.35">
      <c r="A178" s="24"/>
      <c r="B178" s="24"/>
      <c r="C178" s="24" t="s">
        <v>34</v>
      </c>
      <c r="D178" s="24"/>
      <c r="E178" s="24"/>
      <c r="F178" s="24"/>
      <c r="G178" s="38">
        <f>ROUND(Source!AC52*Source!I52,2)+ROUND(Source!AF52*Source!I52,2)+ROUND(Source!AD52*Source!I52,2)+SUM(H174:H176)</f>
        <v>11003.019999999999</v>
      </c>
      <c r="H178" s="38"/>
      <c r="I178" s="38">
        <f>Source!CQ52*Source!I52+Source!CT52*Source!I52+Source!CR52*Source!I52+SUM(J174:J176)</f>
        <v>75872.291150717996</v>
      </c>
      <c r="J178" s="38"/>
      <c r="O178">
        <f>G178</f>
        <v>11003.019999999999</v>
      </c>
      <c r="P178">
        <f>I178</f>
        <v>75872.291150717996</v>
      </c>
    </row>
    <row r="180" spans="1:21" ht="15.75" customHeight="1" x14ac:dyDescent="0.35">
      <c r="A180" s="39" t="str">
        <f>CONCATENATE("Итого по разделу: ",IF(Source!G55&lt;&gt;"Новый раздел",Source!G55,""))</f>
        <v>Итого по разделу: Строительные работы</v>
      </c>
      <c r="B180" s="39"/>
      <c r="C180" s="39"/>
      <c r="D180" s="39"/>
      <c r="E180" s="39"/>
      <c r="F180" s="39"/>
      <c r="G180" s="38">
        <f>SUM(O33:O179)</f>
        <v>248496.53</v>
      </c>
      <c r="H180" s="38"/>
      <c r="I180" s="38">
        <f>SUM(P33:P179)</f>
        <v>2082277.7050801986</v>
      </c>
      <c r="J180" s="38"/>
    </row>
    <row r="183" spans="1:21" ht="18.2" customHeight="1" x14ac:dyDescent="0.35">
      <c r="A183" s="36" t="str">
        <f>CONCATENATE("Раздел: ",IF(Source!G84&lt;&gt;"Новый раздел",Source!G84,""))</f>
        <v>Раздел: Погрузка и вывоз мусора</v>
      </c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21" ht="27" x14ac:dyDescent="0.35">
      <c r="A184" s="15" t="str">
        <f>IF(Source!E88&lt;&gt;"",Source!E88,"")</f>
        <v>1</v>
      </c>
      <c r="B184" s="15" t="str">
        <f>IF(Source!F88&lt;&gt;"",Source!F88,"")</f>
        <v>т01-01-01-041</v>
      </c>
      <c r="C184" s="15" t="str">
        <f>IF(Source!G88&lt;&gt;"",Source!G88,"")</f>
        <v>Погрузка при автомобильных перевозках мусора строительного с погрузкой вручную</v>
      </c>
      <c r="D184" s="16" t="str">
        <f>IF(Source!H88&lt;&gt;"",Source!H88,"")</f>
        <v>1 Т ГРУЗА</v>
      </c>
      <c r="E184" s="16">
        <f>Source!I88</f>
        <v>55.221600000000002</v>
      </c>
      <c r="F184" s="17"/>
      <c r="G184" s="16"/>
      <c r="H184" s="18"/>
      <c r="I184" s="16" t="str">
        <f>IF(Source!BO88&lt;&gt;"",Source!BO88,"")</f>
        <v>т01-01-01-041</v>
      </c>
      <c r="J184" s="18"/>
      <c r="R184">
        <f>ROUND((Source!FX88/100)*((ROUND(Source!AF88*Source!I88,2)+ROUND(Source!AE88*Source!I88,2))),2)</f>
        <v>0</v>
      </c>
      <c r="S184">
        <f>Source!X88</f>
        <v>0</v>
      </c>
      <c r="T184">
        <f>ROUND((Source!FY88/100)*((ROUND(Source!AF88*Source!I88,2)+ROUND(Source!AE88*Source!I88,2))),2)</f>
        <v>0</v>
      </c>
      <c r="U184">
        <f>Source!Y88</f>
        <v>0</v>
      </c>
    </row>
    <row r="185" spans="1:21" ht="13.5" x14ac:dyDescent="0.35">
      <c r="A185" s="15"/>
      <c r="B185" s="15"/>
      <c r="C185" s="15" t="s">
        <v>27</v>
      </c>
      <c r="D185" s="16"/>
      <c r="E185" s="16"/>
      <c r="F185" s="17">
        <f>Source!AO88</f>
        <v>4.1500000000000004</v>
      </c>
      <c r="G185" s="16" t="str">
        <f>IF(Source!DG88&lt;&gt;"",Source!DG88," ")</f>
        <v xml:space="preserve"> </v>
      </c>
      <c r="H185" s="18">
        <f>ROUND(Source!AF88*Source!I88,2)</f>
        <v>595.84</v>
      </c>
      <c r="I185" s="16">
        <f>IF(Source!BA88&lt;&gt;0,Source!BA88,1)</f>
        <v>10.72</v>
      </c>
      <c r="J185" s="18">
        <f>Source!S88</f>
        <v>6387.42</v>
      </c>
      <c r="Q185">
        <f>H185</f>
        <v>595.84</v>
      </c>
    </row>
    <row r="186" spans="1:21" ht="13.5" x14ac:dyDescent="0.35">
      <c r="A186" s="15"/>
      <c r="B186" s="15"/>
      <c r="C186" s="15" t="s">
        <v>28</v>
      </c>
      <c r="D186" s="16"/>
      <c r="E186" s="16"/>
      <c r="F186" s="17">
        <f>Source!AM88</f>
        <v>32.19</v>
      </c>
      <c r="G186" s="16" t="str">
        <f>IF(Source!DE88&lt;&gt;"",Source!DE88," ")</f>
        <v xml:space="preserve"> </v>
      </c>
      <c r="H186" s="18">
        <f>ROUND(Source!AD88*Source!I88,2)</f>
        <v>1777.58</v>
      </c>
      <c r="I186" s="16">
        <f>IF(Source!BB88&lt;&gt;0,Source!BB88,1)</f>
        <v>10.72</v>
      </c>
      <c r="J186" s="18">
        <f>Source!Q88</f>
        <v>19055.689999999999</v>
      </c>
    </row>
    <row r="187" spans="1:21" ht="13.5" x14ac:dyDescent="0.35">
      <c r="A187" s="20"/>
      <c r="B187" s="20"/>
      <c r="C187" s="20" t="s">
        <v>32</v>
      </c>
      <c r="D187" s="21" t="s">
        <v>33</v>
      </c>
      <c r="E187" s="21">
        <f>Source!AQ88</f>
        <v>0.57769999999999999</v>
      </c>
      <c r="F187" s="22"/>
      <c r="G187" s="21" t="str">
        <f>IF(Source!DI88&lt;&gt;"",Source!DI88," ")</f>
        <v xml:space="preserve"> </v>
      </c>
      <c r="H187" s="23">
        <f>Source!U88</f>
        <v>31.901518320000001</v>
      </c>
      <c r="I187" s="21"/>
      <c r="J187" s="23"/>
    </row>
    <row r="188" spans="1:21" ht="13.9" x14ac:dyDescent="0.35">
      <c r="A188" s="24"/>
      <c r="B188" s="24"/>
      <c r="C188" s="24" t="s">
        <v>34</v>
      </c>
      <c r="D188" s="24"/>
      <c r="E188" s="24"/>
      <c r="F188" s="24"/>
      <c r="G188" s="38">
        <f>ROUND(Source!AC88*Source!I88,2)+ROUND(Source!AF88*Source!I88,2)+ROUND(Source!AD88*Source!I88,2)</f>
        <v>2373.42</v>
      </c>
      <c r="H188" s="38"/>
      <c r="I188" s="38">
        <f>Source!CQ88*Source!I88+Source!CT88*Source!I88+Source!CR88*Source!I88</f>
        <v>25443.109224960001</v>
      </c>
      <c r="J188" s="38"/>
      <c r="O188">
        <f>G188</f>
        <v>2373.42</v>
      </c>
      <c r="P188">
        <f>I188</f>
        <v>25443.109224960001</v>
      </c>
    </row>
    <row r="189" spans="1:21" ht="40.5" x14ac:dyDescent="0.35">
      <c r="A189" s="15" t="str">
        <f>IF(Source!E89&lt;&gt;"",Source!E89,"")</f>
        <v>2</v>
      </c>
      <c r="B189" s="15" t="str">
        <f>IF(Source!F89&lt;&gt;"",Source!F89,"")</f>
        <v>т03-21-01-030</v>
      </c>
      <c r="C189" s="15" t="str">
        <f>IF(Source!G89&lt;&gt;"",Source!G89,"")</f>
        <v>Перевозка грузов I класса автомобилями-самосвалами грузоподъемностью 10 т работающих вне карьера на расстояние до 30 км</v>
      </c>
      <c r="D189" s="16" t="str">
        <f>IF(Source!H89&lt;&gt;"",Source!H89,"")</f>
        <v>1 Т ГРУЗА</v>
      </c>
      <c r="E189" s="16">
        <f>Source!I89</f>
        <v>55.221600000000002</v>
      </c>
      <c r="F189" s="17"/>
      <c r="G189" s="16"/>
      <c r="H189" s="18"/>
      <c r="I189" s="16" t="str">
        <f>IF(Source!BO89&lt;&gt;"",Source!BO89,"")</f>
        <v/>
      </c>
      <c r="J189" s="18"/>
      <c r="R189">
        <f>ROUND((Source!FX89/100)*((ROUND(Source!AF89*Source!I89,2)+ROUND(Source!AE89*Source!I89,2))),2)</f>
        <v>0</v>
      </c>
      <c r="S189">
        <f>Source!X89</f>
        <v>0</v>
      </c>
      <c r="T189">
        <f>ROUND((Source!FY89/100)*((ROUND(Source!AF89*Source!I89,2)+ROUND(Source!AE89*Source!I89,2))),2)</f>
        <v>0</v>
      </c>
      <c r="U189">
        <f>Source!Y89</f>
        <v>0</v>
      </c>
    </row>
    <row r="190" spans="1:21" ht="13.5" x14ac:dyDescent="0.35">
      <c r="A190" s="20"/>
      <c r="B190" s="20"/>
      <c r="C190" s="20" t="s">
        <v>28</v>
      </c>
      <c r="D190" s="21"/>
      <c r="E190" s="21"/>
      <c r="F190" s="22">
        <f>Source!AM89</f>
        <v>19.29</v>
      </c>
      <c r="G190" s="21" t="str">
        <f>IF(Source!DE89&lt;&gt;"",Source!DE89," ")</f>
        <v xml:space="preserve"> </v>
      </c>
      <c r="H190" s="23">
        <f>ROUND(Source!AD89*Source!I89,2)</f>
        <v>1065.22</v>
      </c>
      <c r="I190" s="21">
        <f>IF(Source!BB89&lt;&gt;0,Source!BB89,1)</f>
        <v>7.48</v>
      </c>
      <c r="J190" s="23">
        <f>Source!Q89</f>
        <v>7967.88</v>
      </c>
    </row>
    <row r="191" spans="1:21" ht="13.9" x14ac:dyDescent="0.35">
      <c r="A191" s="24"/>
      <c r="B191" s="24"/>
      <c r="C191" s="24" t="s">
        <v>34</v>
      </c>
      <c r="D191" s="24"/>
      <c r="E191" s="24"/>
      <c r="F191" s="24"/>
      <c r="G191" s="38">
        <f>ROUND(Source!AC89*Source!I89,2)+ROUND(Source!AF89*Source!I89,2)+ROUND(Source!AD89*Source!I89,2)</f>
        <v>1065.22</v>
      </c>
      <c r="H191" s="38"/>
      <c r="I191" s="38">
        <f>Source!CQ89*Source!I89+Source!CT89*Source!I89+Source!CR89*Source!I89</f>
        <v>7967.8804867199997</v>
      </c>
      <c r="J191" s="38"/>
      <c r="O191">
        <f>G191</f>
        <v>1065.22</v>
      </c>
      <c r="P191">
        <f>I191</f>
        <v>7967.8804867199997</v>
      </c>
    </row>
    <row r="193" spans="1:10" ht="15.75" customHeight="1" x14ac:dyDescent="0.35">
      <c r="A193" s="39" t="str">
        <f>CONCATENATE("Итого по разделу: ",IF(Source!G91&lt;&gt;"Новый раздел",Source!G91,""))</f>
        <v>Итого по разделу: Погрузка и вывоз мусора</v>
      </c>
      <c r="B193" s="39"/>
      <c r="C193" s="39"/>
      <c r="D193" s="39"/>
      <c r="E193" s="39"/>
      <c r="F193" s="39"/>
      <c r="G193" s="38">
        <f>SUM(O183:O192)</f>
        <v>3438.6400000000003</v>
      </c>
      <c r="H193" s="38"/>
      <c r="I193" s="38">
        <f>SUM(P183:P192)</f>
        <v>33410.989711679998</v>
      </c>
      <c r="J193" s="38"/>
    </row>
    <row r="196" spans="1:10" ht="15.75" customHeight="1" x14ac:dyDescent="0.35">
      <c r="A196" s="39" t="str">
        <f>CONCATENATE("Итого по локальной смете: ",IF(Source!G120&lt;&gt;"Новая локальная смета",Source!G120,""))</f>
        <v>Итого по локальной смете: Козино - дорога</v>
      </c>
      <c r="B196" s="39"/>
      <c r="C196" s="39"/>
      <c r="D196" s="39"/>
      <c r="E196" s="39"/>
      <c r="F196" s="39"/>
      <c r="G196" s="38">
        <f>SUM(O32:O195)</f>
        <v>251935.17</v>
      </c>
      <c r="H196" s="38"/>
      <c r="I196" s="38">
        <f>SUM(P32:P195)</f>
        <v>2115688.6947918786</v>
      </c>
      <c r="J196" s="38"/>
    </row>
    <row r="198" spans="1:10" hidden="1" x14ac:dyDescent="0.35"/>
    <row r="199" spans="1:10" ht="15.75" hidden="1" customHeight="1" x14ac:dyDescent="0.35">
      <c r="A199" s="39" t="str">
        <f>CONCATENATE("Итого по смете: ",IF(Source!G12&lt;&gt;"Новый объект",Source!G12,""))</f>
        <v>Итого по смете: №380-24.10.17 - текущие цены</v>
      </c>
      <c r="B199" s="39"/>
      <c r="C199" s="39"/>
      <c r="D199" s="39"/>
      <c r="E199" s="39"/>
      <c r="F199" s="39"/>
      <c r="G199" s="38">
        <f>SUM(O1:O198)</f>
        <v>251935.17</v>
      </c>
      <c r="H199" s="38"/>
      <c r="I199" s="38">
        <f>SUM(P1:P198)</f>
        <v>2115688.6947918786</v>
      </c>
      <c r="J199" s="38"/>
    </row>
    <row r="200" spans="1:10" hidden="1" x14ac:dyDescent="0.35"/>
    <row r="201" spans="1:10" ht="15.75" customHeight="1" x14ac:dyDescent="0.35">
      <c r="A201" s="25"/>
      <c r="B201" s="25"/>
      <c r="C201" s="42" t="str">
        <f>IF(Source!H177&lt;&gt;"",Source!H177,"")</f>
        <v>Итого</v>
      </c>
      <c r="D201" s="42"/>
      <c r="E201" s="42"/>
      <c r="F201" s="42"/>
      <c r="G201" s="42"/>
      <c r="H201" s="42"/>
      <c r="I201" s="43">
        <f>I196</f>
        <v>2115688.6947918786</v>
      </c>
      <c r="J201" s="43"/>
    </row>
    <row r="202" spans="1:10" ht="15.75" customHeight="1" x14ac:dyDescent="0.35">
      <c r="A202" s="25"/>
      <c r="B202" s="25"/>
      <c r="C202" s="42" t="str">
        <f>IF(Source!H178&lt;&gt;"",Source!H178,"")</f>
        <v>НДС 18%</v>
      </c>
      <c r="D202" s="42"/>
      <c r="E202" s="42"/>
      <c r="F202" s="42"/>
      <c r="G202" s="42"/>
      <c r="H202" s="42"/>
      <c r="I202" s="43">
        <f>I201*0.18</f>
        <v>380823.9650625381</v>
      </c>
      <c r="J202" s="43"/>
    </row>
    <row r="203" spans="1:10" ht="15.75" customHeight="1" x14ac:dyDescent="0.35">
      <c r="A203" s="25"/>
      <c r="B203" s="25"/>
      <c r="C203" s="42" t="str">
        <f>IF(Source!H179&lt;&gt;"",Source!H179,"")</f>
        <v>Итого с НДС</v>
      </c>
      <c r="D203" s="42"/>
      <c r="E203" s="42"/>
      <c r="F203" s="42"/>
      <c r="G203" s="42"/>
      <c r="H203" s="42"/>
      <c r="I203" s="43">
        <f>I201+I202</f>
        <v>2496512.6598544167</v>
      </c>
      <c r="J203" s="43"/>
    </row>
    <row r="207" spans="1:10" ht="13.5" x14ac:dyDescent="0.35">
      <c r="A207" s="40" t="s">
        <v>40</v>
      </c>
      <c r="B207" s="40"/>
      <c r="C207" s="41" t="str">
        <f>IF(Source!AC12&lt;&gt;"",Source!AC12," ")</f>
        <v xml:space="preserve"> </v>
      </c>
      <c r="D207" s="41"/>
      <c r="E207" s="41"/>
      <c r="F207" s="41"/>
      <c r="G207" s="41"/>
      <c r="H207" s="27" t="str">
        <f>IF(Source!AB12&lt;&gt;"",Source!AB12," ")</f>
        <v xml:space="preserve"> </v>
      </c>
      <c r="I207" s="27"/>
      <c r="J207" s="27"/>
    </row>
    <row r="208" spans="1:10" ht="13.5" x14ac:dyDescent="0.35">
      <c r="A208" s="3"/>
      <c r="B208" s="3"/>
      <c r="C208" s="30" t="s">
        <v>41</v>
      </c>
      <c r="D208" s="30"/>
      <c r="E208" s="30"/>
      <c r="F208" s="30"/>
      <c r="G208" s="30"/>
      <c r="H208" s="3"/>
      <c r="I208" s="3"/>
      <c r="J208" s="3"/>
    </row>
    <row r="209" spans="1:10" ht="13.5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3.5" x14ac:dyDescent="0.35">
      <c r="A210" s="40" t="s">
        <v>42</v>
      </c>
      <c r="B210" s="40"/>
      <c r="C210" s="41" t="str">
        <f>IF(Source!AE12&lt;&gt;"",Source!AE12," ")</f>
        <v xml:space="preserve"> </v>
      </c>
      <c r="D210" s="41"/>
      <c r="E210" s="41"/>
      <c r="F210" s="41"/>
      <c r="G210" s="41"/>
      <c r="H210" s="27" t="str">
        <f>IF(Source!AD12&lt;&gt;"",Source!AD12," ")</f>
        <v xml:space="preserve"> </v>
      </c>
      <c r="I210" s="27"/>
      <c r="J210" s="27"/>
    </row>
    <row r="211" spans="1:10" ht="13.5" x14ac:dyDescent="0.35">
      <c r="A211" s="3"/>
      <c r="B211" s="3"/>
      <c r="C211" s="30" t="s">
        <v>41</v>
      </c>
      <c r="D211" s="30"/>
      <c r="E211" s="30"/>
      <c r="F211" s="30"/>
      <c r="G211" s="30"/>
      <c r="H211" s="3"/>
      <c r="I211" s="3"/>
      <c r="J211" s="3"/>
    </row>
  </sheetData>
  <mergeCells count="113">
    <mergeCell ref="A207:B207"/>
    <mergeCell ref="C207:G207"/>
    <mergeCell ref="H207:J207"/>
    <mergeCell ref="C208:G208"/>
    <mergeCell ref="A210:B210"/>
    <mergeCell ref="C210:G210"/>
    <mergeCell ref="H210:J210"/>
    <mergeCell ref="C211:G211"/>
    <mergeCell ref="A199:F199"/>
    <mergeCell ref="G199:H199"/>
    <mergeCell ref="I199:J199"/>
    <mergeCell ref="C201:H201"/>
    <mergeCell ref="I201:J201"/>
    <mergeCell ref="C202:H202"/>
    <mergeCell ref="I202:J202"/>
    <mergeCell ref="C203:H203"/>
    <mergeCell ref="I203:J203"/>
    <mergeCell ref="A183:J183"/>
    <mergeCell ref="G188:H188"/>
    <mergeCell ref="I188:J188"/>
    <mergeCell ref="G191:H191"/>
    <mergeCell ref="I191:J191"/>
    <mergeCell ref="A193:F193"/>
    <mergeCell ref="G193:H193"/>
    <mergeCell ref="I193:J193"/>
    <mergeCell ref="A196:F196"/>
    <mergeCell ref="G196:H196"/>
    <mergeCell ref="I196:J196"/>
    <mergeCell ref="F165:G165"/>
    <mergeCell ref="F166:G166"/>
    <mergeCell ref="G168:H168"/>
    <mergeCell ref="I168:J168"/>
    <mergeCell ref="F175:G175"/>
    <mergeCell ref="F176:G176"/>
    <mergeCell ref="G178:H178"/>
    <mergeCell ref="I178:J178"/>
    <mergeCell ref="A180:F180"/>
    <mergeCell ref="G180:H180"/>
    <mergeCell ref="I180:J180"/>
    <mergeCell ref="G138:H138"/>
    <mergeCell ref="I138:J138"/>
    <mergeCell ref="F145:G145"/>
    <mergeCell ref="F146:G146"/>
    <mergeCell ref="G148:H148"/>
    <mergeCell ref="I148:J148"/>
    <mergeCell ref="F155:G155"/>
    <mergeCell ref="F156:G156"/>
    <mergeCell ref="G158:H158"/>
    <mergeCell ref="I158:J158"/>
    <mergeCell ref="F118:G118"/>
    <mergeCell ref="G120:H120"/>
    <mergeCell ref="I120:J120"/>
    <mergeCell ref="F127:G127"/>
    <mergeCell ref="F128:G128"/>
    <mergeCell ref="G130:H130"/>
    <mergeCell ref="I130:J130"/>
    <mergeCell ref="F135:G135"/>
    <mergeCell ref="F136:G136"/>
    <mergeCell ref="F97:G97"/>
    <mergeCell ref="F98:G98"/>
    <mergeCell ref="G100:H100"/>
    <mergeCell ref="I100:J100"/>
    <mergeCell ref="F107:G107"/>
    <mergeCell ref="F108:G108"/>
    <mergeCell ref="G110:H110"/>
    <mergeCell ref="I110:J110"/>
    <mergeCell ref="F117:G117"/>
    <mergeCell ref="G72:H72"/>
    <mergeCell ref="I72:J72"/>
    <mergeCell ref="F79:G79"/>
    <mergeCell ref="F80:G80"/>
    <mergeCell ref="G82:H82"/>
    <mergeCell ref="I82:J82"/>
    <mergeCell ref="F89:G89"/>
    <mergeCell ref="F90:G90"/>
    <mergeCell ref="G92:H92"/>
    <mergeCell ref="I92:J92"/>
    <mergeCell ref="F52:G52"/>
    <mergeCell ref="G54:H54"/>
    <mergeCell ref="I54:J54"/>
    <mergeCell ref="F61:G61"/>
    <mergeCell ref="F62:G62"/>
    <mergeCell ref="G64:H64"/>
    <mergeCell ref="I64:J64"/>
    <mergeCell ref="F69:G69"/>
    <mergeCell ref="F70:G70"/>
    <mergeCell ref="E27:G27"/>
    <mergeCell ref="A33:J33"/>
    <mergeCell ref="F39:G39"/>
    <mergeCell ref="F40:G40"/>
    <mergeCell ref="G42:H42"/>
    <mergeCell ref="I42:J42"/>
    <mergeCell ref="G45:H45"/>
    <mergeCell ref="I45:J45"/>
    <mergeCell ref="F51:G51"/>
    <mergeCell ref="A11:J11"/>
    <mergeCell ref="A13:J13"/>
    <mergeCell ref="A14:J14"/>
    <mergeCell ref="A16:J16"/>
    <mergeCell ref="A18:J18"/>
    <mergeCell ref="A19:J19"/>
    <mergeCell ref="A21:J21"/>
    <mergeCell ref="E25:G25"/>
    <mergeCell ref="E26:G26"/>
    <mergeCell ref="B3:E3"/>
    <mergeCell ref="G3:J3"/>
    <mergeCell ref="B4:E4"/>
    <mergeCell ref="G4:J4"/>
    <mergeCell ref="B6:E6"/>
    <mergeCell ref="G6:J6"/>
    <mergeCell ref="B7:E7"/>
    <mergeCell ref="G7:J7"/>
    <mergeCell ref="A10:J10"/>
  </mergeCells>
  <pageMargins left="0.39374999999999999" right="0.196527777777778" top="0.196527777777778" bottom="0.46180555555555602" header="0.51180555555555496" footer="0.196527777777778"/>
  <pageSetup paperSize="9" scale="60" firstPageNumber="0" orientation="portrait" horizontalDpi="300" verticalDpi="300"/>
  <headerFoot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54"/>
  <sheetViews>
    <sheetView zoomScaleNormal="100" workbookViewId="0"/>
  </sheetViews>
  <sheetFormatPr defaultRowHeight="12.75" x14ac:dyDescent="0.35"/>
  <cols>
    <col min="1" max="1025" width="9" customWidth="1"/>
  </cols>
  <sheetData>
    <row r="1" spans="1:133" x14ac:dyDescent="0.35">
      <c r="A1">
        <v>0</v>
      </c>
      <c r="B1" t="s">
        <v>43</v>
      </c>
      <c r="D1" t="s">
        <v>44</v>
      </c>
      <c r="F1">
        <v>0</v>
      </c>
      <c r="G1">
        <v>0</v>
      </c>
      <c r="H1">
        <v>0</v>
      </c>
      <c r="I1" t="s">
        <v>45</v>
      </c>
      <c r="K1">
        <v>1</v>
      </c>
      <c r="L1">
        <v>40934</v>
      </c>
      <c r="M1">
        <v>379643481</v>
      </c>
    </row>
    <row r="12" spans="1:133" x14ac:dyDescent="0.35">
      <c r="A12">
        <v>1</v>
      </c>
      <c r="B12">
        <v>249</v>
      </c>
      <c r="C12">
        <v>0</v>
      </c>
      <c r="D12">
        <f>ROW(A149)</f>
        <v>149</v>
      </c>
      <c r="E12">
        <v>0</v>
      </c>
      <c r="F12" t="s">
        <v>46</v>
      </c>
      <c r="G12" t="s">
        <v>47</v>
      </c>
      <c r="I12">
        <v>0</v>
      </c>
      <c r="K12">
        <v>0</v>
      </c>
      <c r="O12">
        <v>0</v>
      </c>
      <c r="P12">
        <v>0</v>
      </c>
      <c r="Q12">
        <v>0</v>
      </c>
      <c r="R12">
        <v>0</v>
      </c>
      <c r="V12">
        <v>0</v>
      </c>
      <c r="BH12" t="s">
        <v>48</v>
      </c>
      <c r="BI12" t="s">
        <v>49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1</v>
      </c>
      <c r="BW12">
        <v>0</v>
      </c>
      <c r="BX12">
        <v>0</v>
      </c>
      <c r="BY12" t="s">
        <v>50</v>
      </c>
      <c r="BZ12" t="s">
        <v>51</v>
      </c>
      <c r="CA12" t="s">
        <v>52</v>
      </c>
      <c r="CB12" t="s">
        <v>52</v>
      </c>
      <c r="CC12" t="s">
        <v>52</v>
      </c>
      <c r="CD12" t="s">
        <v>52</v>
      </c>
      <c r="CE12" t="s">
        <v>53</v>
      </c>
      <c r="CF12">
        <v>0</v>
      </c>
      <c r="CG12">
        <v>0</v>
      </c>
      <c r="CH12">
        <v>8200</v>
      </c>
      <c r="CK12">
        <v>1</v>
      </c>
      <c r="EC12">
        <v>0</v>
      </c>
    </row>
    <row r="15" spans="1:133" x14ac:dyDescent="0.35">
      <c r="A15">
        <v>15</v>
      </c>
      <c r="B15">
        <v>1</v>
      </c>
    </row>
    <row r="18" spans="1:245" x14ac:dyDescent="0.35">
      <c r="A18">
        <v>52</v>
      </c>
      <c r="B18">
        <f t="shared" ref="B18:G18" si="0">B149</f>
        <v>249</v>
      </c>
      <c r="C18">
        <f t="shared" si="0"/>
        <v>1</v>
      </c>
      <c r="D18">
        <f t="shared" si="0"/>
        <v>12</v>
      </c>
      <c r="E18">
        <f t="shared" si="0"/>
        <v>0</v>
      </c>
      <c r="F18" t="str">
        <f t="shared" si="0"/>
        <v>Новый объект</v>
      </c>
      <c r="G18" t="str">
        <f t="shared" si="0"/>
        <v>№380-24.10.17 - текущие цены</v>
      </c>
      <c r="O18">
        <f t="shared" ref="O18:AT18" si="1">O149</f>
        <v>1632700.56</v>
      </c>
      <c r="P18">
        <f t="shared" si="1"/>
        <v>1090023.72</v>
      </c>
      <c r="Q18">
        <f t="shared" si="1"/>
        <v>353668.29</v>
      </c>
      <c r="R18">
        <f t="shared" si="1"/>
        <v>96834.12</v>
      </c>
      <c r="S18">
        <f t="shared" si="1"/>
        <v>189008.55</v>
      </c>
      <c r="T18">
        <f t="shared" si="1"/>
        <v>0</v>
      </c>
      <c r="U18">
        <f t="shared" si="1"/>
        <v>899.93347031999997</v>
      </c>
      <c r="V18">
        <f t="shared" si="1"/>
        <v>322.76300075</v>
      </c>
      <c r="W18">
        <f t="shared" si="1"/>
        <v>12245.94</v>
      </c>
      <c r="X18">
        <f t="shared" si="1"/>
        <v>302764.73</v>
      </c>
      <c r="Y18">
        <f t="shared" si="1"/>
        <v>180223.41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2115688.7000000002</v>
      </c>
      <c r="AS18">
        <f t="shared" si="1"/>
        <v>2115688.7000000002</v>
      </c>
      <c r="AT18">
        <f t="shared" si="1"/>
        <v>0</v>
      </c>
      <c r="AU18">
        <f t="shared" ref="AU18:BZ18" si="2">AU149</f>
        <v>0</v>
      </c>
      <c r="AV18">
        <f t="shared" si="2"/>
        <v>1090023.72</v>
      </c>
      <c r="AW18">
        <f t="shared" si="2"/>
        <v>1090023.72</v>
      </c>
      <c r="AX18">
        <f t="shared" si="2"/>
        <v>0</v>
      </c>
      <c r="AY18">
        <f t="shared" si="2"/>
        <v>1090023.72</v>
      </c>
      <c r="AZ18">
        <f t="shared" si="2"/>
        <v>0</v>
      </c>
      <c r="BA18">
        <f t="shared" si="2"/>
        <v>0</v>
      </c>
      <c r="BB18">
        <f t="shared" si="2"/>
        <v>0</v>
      </c>
      <c r="BC18">
        <f t="shared" si="2"/>
        <v>0</v>
      </c>
      <c r="BD18">
        <f t="shared" si="2"/>
        <v>0</v>
      </c>
      <c r="BE18">
        <f t="shared" si="2"/>
        <v>0</v>
      </c>
      <c r="BF18">
        <f t="shared" si="2"/>
        <v>0</v>
      </c>
      <c r="BG18">
        <f t="shared" si="2"/>
        <v>0</v>
      </c>
      <c r="BH18">
        <f t="shared" si="2"/>
        <v>0</v>
      </c>
      <c r="BI18">
        <f t="shared" si="2"/>
        <v>0</v>
      </c>
      <c r="BJ18">
        <f t="shared" si="2"/>
        <v>0</v>
      </c>
      <c r="BK18">
        <f t="shared" si="2"/>
        <v>0</v>
      </c>
      <c r="BL18">
        <f t="shared" si="2"/>
        <v>0</v>
      </c>
      <c r="BM18">
        <f t="shared" si="2"/>
        <v>0</v>
      </c>
      <c r="BN18">
        <f t="shared" si="2"/>
        <v>0</v>
      </c>
      <c r="BO18">
        <f t="shared" si="2"/>
        <v>0</v>
      </c>
      <c r="BP18">
        <f t="shared" si="2"/>
        <v>0</v>
      </c>
      <c r="BQ18">
        <f t="shared" si="2"/>
        <v>0</v>
      </c>
      <c r="BR18">
        <f t="shared" si="2"/>
        <v>0</v>
      </c>
      <c r="BS18">
        <f t="shared" si="2"/>
        <v>0</v>
      </c>
      <c r="BT18">
        <f t="shared" si="2"/>
        <v>0</v>
      </c>
      <c r="BU18">
        <f t="shared" si="2"/>
        <v>0</v>
      </c>
      <c r="BV18">
        <f t="shared" si="2"/>
        <v>0</v>
      </c>
      <c r="BW18">
        <f t="shared" si="2"/>
        <v>0</v>
      </c>
      <c r="BX18">
        <f t="shared" si="2"/>
        <v>0</v>
      </c>
      <c r="BY18">
        <f t="shared" si="2"/>
        <v>0</v>
      </c>
      <c r="BZ18">
        <f t="shared" si="2"/>
        <v>0</v>
      </c>
      <c r="CA18">
        <f t="shared" ref="CA18:DF18" si="3">CA149</f>
        <v>0</v>
      </c>
      <c r="CB18">
        <f t="shared" si="3"/>
        <v>0</v>
      </c>
      <c r="CC18">
        <f t="shared" si="3"/>
        <v>0</v>
      </c>
      <c r="CD18">
        <f t="shared" si="3"/>
        <v>0</v>
      </c>
      <c r="CE18">
        <f t="shared" si="3"/>
        <v>0</v>
      </c>
      <c r="CF18">
        <f t="shared" si="3"/>
        <v>0</v>
      </c>
      <c r="CG18">
        <f t="shared" si="3"/>
        <v>0</v>
      </c>
      <c r="CH18">
        <f t="shared" si="3"/>
        <v>0</v>
      </c>
      <c r="CI18">
        <f t="shared" si="3"/>
        <v>0</v>
      </c>
      <c r="CJ18">
        <f t="shared" si="3"/>
        <v>0</v>
      </c>
      <c r="CK18">
        <f t="shared" si="3"/>
        <v>0</v>
      </c>
      <c r="CL18">
        <f t="shared" si="3"/>
        <v>0</v>
      </c>
      <c r="CM18">
        <f t="shared" si="3"/>
        <v>0</v>
      </c>
      <c r="CN18">
        <f t="shared" si="3"/>
        <v>0</v>
      </c>
      <c r="CO18">
        <f t="shared" si="3"/>
        <v>0</v>
      </c>
      <c r="CP18">
        <f t="shared" si="3"/>
        <v>0</v>
      </c>
      <c r="CQ18">
        <f t="shared" si="3"/>
        <v>0</v>
      </c>
      <c r="CR18">
        <f t="shared" si="3"/>
        <v>0</v>
      </c>
      <c r="CS18">
        <f t="shared" si="3"/>
        <v>0</v>
      </c>
      <c r="CT18">
        <f t="shared" si="3"/>
        <v>0</v>
      </c>
      <c r="CU18">
        <f t="shared" si="3"/>
        <v>0</v>
      </c>
      <c r="CV18">
        <f t="shared" si="3"/>
        <v>0</v>
      </c>
      <c r="CW18">
        <f t="shared" si="3"/>
        <v>0</v>
      </c>
      <c r="CX18">
        <f t="shared" si="3"/>
        <v>0</v>
      </c>
      <c r="CY18">
        <f t="shared" si="3"/>
        <v>0</v>
      </c>
      <c r="CZ18">
        <f t="shared" si="3"/>
        <v>0</v>
      </c>
      <c r="DA18">
        <f t="shared" si="3"/>
        <v>0</v>
      </c>
      <c r="DB18">
        <f t="shared" si="3"/>
        <v>0</v>
      </c>
      <c r="DC18">
        <f t="shared" si="3"/>
        <v>0</v>
      </c>
      <c r="DD18">
        <f t="shared" si="3"/>
        <v>0</v>
      </c>
      <c r="DE18">
        <f t="shared" si="3"/>
        <v>0</v>
      </c>
      <c r="DF18">
        <f t="shared" si="3"/>
        <v>0</v>
      </c>
      <c r="DG18">
        <f t="shared" ref="DG18:EL18" si="4">DG149</f>
        <v>0</v>
      </c>
      <c r="DH18">
        <f t="shared" si="4"/>
        <v>0</v>
      </c>
      <c r="DI18">
        <f t="shared" si="4"/>
        <v>0</v>
      </c>
      <c r="DJ18">
        <f t="shared" si="4"/>
        <v>0</v>
      </c>
      <c r="DK18">
        <f t="shared" si="4"/>
        <v>0</v>
      </c>
      <c r="DL18">
        <f t="shared" si="4"/>
        <v>0</v>
      </c>
      <c r="DM18">
        <f t="shared" si="4"/>
        <v>0</v>
      </c>
      <c r="DN18">
        <f t="shared" si="4"/>
        <v>0</v>
      </c>
      <c r="DO18">
        <f t="shared" si="4"/>
        <v>0</v>
      </c>
      <c r="DP18">
        <f t="shared" si="4"/>
        <v>0</v>
      </c>
      <c r="DQ18">
        <f t="shared" si="4"/>
        <v>0</v>
      </c>
      <c r="DR18">
        <f t="shared" si="4"/>
        <v>0</v>
      </c>
      <c r="DS18">
        <f t="shared" si="4"/>
        <v>0</v>
      </c>
      <c r="DT18">
        <f t="shared" si="4"/>
        <v>0</v>
      </c>
      <c r="DU18">
        <f t="shared" si="4"/>
        <v>0</v>
      </c>
      <c r="DV18">
        <f t="shared" si="4"/>
        <v>0</v>
      </c>
      <c r="DW18">
        <f t="shared" si="4"/>
        <v>0</v>
      </c>
      <c r="DX18">
        <f t="shared" si="4"/>
        <v>0</v>
      </c>
      <c r="DY18">
        <f t="shared" si="4"/>
        <v>0</v>
      </c>
      <c r="DZ18">
        <f t="shared" si="4"/>
        <v>0</v>
      </c>
      <c r="EA18">
        <f t="shared" si="4"/>
        <v>0</v>
      </c>
      <c r="EB18">
        <f t="shared" si="4"/>
        <v>0</v>
      </c>
      <c r="EC18">
        <f t="shared" si="4"/>
        <v>0</v>
      </c>
      <c r="ED18">
        <f t="shared" si="4"/>
        <v>0</v>
      </c>
      <c r="EE18">
        <f t="shared" si="4"/>
        <v>0</v>
      </c>
      <c r="EF18">
        <f t="shared" si="4"/>
        <v>0</v>
      </c>
      <c r="EG18">
        <f t="shared" si="4"/>
        <v>0</v>
      </c>
      <c r="EH18">
        <f t="shared" si="4"/>
        <v>0</v>
      </c>
      <c r="EI18">
        <f t="shared" si="4"/>
        <v>0</v>
      </c>
      <c r="EJ18">
        <f t="shared" si="4"/>
        <v>0</v>
      </c>
      <c r="EK18">
        <f t="shared" si="4"/>
        <v>0</v>
      </c>
      <c r="EL18">
        <f t="shared" si="4"/>
        <v>0</v>
      </c>
      <c r="EM18">
        <f t="shared" ref="EM18:FR18" si="5">EM149</f>
        <v>0</v>
      </c>
      <c r="EN18">
        <f t="shared" si="5"/>
        <v>0</v>
      </c>
      <c r="EO18">
        <f t="shared" si="5"/>
        <v>0</v>
      </c>
      <c r="EP18">
        <f t="shared" si="5"/>
        <v>0</v>
      </c>
      <c r="EQ18">
        <f t="shared" si="5"/>
        <v>0</v>
      </c>
      <c r="ER18">
        <f t="shared" si="5"/>
        <v>0</v>
      </c>
      <c r="ES18">
        <f t="shared" si="5"/>
        <v>0</v>
      </c>
      <c r="ET18">
        <f t="shared" si="5"/>
        <v>0</v>
      </c>
      <c r="EU18">
        <f t="shared" si="5"/>
        <v>0</v>
      </c>
      <c r="EV18">
        <f t="shared" si="5"/>
        <v>0</v>
      </c>
      <c r="EW18">
        <f t="shared" si="5"/>
        <v>0</v>
      </c>
      <c r="EX18">
        <f t="shared" si="5"/>
        <v>0</v>
      </c>
      <c r="EY18">
        <f t="shared" si="5"/>
        <v>0</v>
      </c>
      <c r="EZ18">
        <f t="shared" si="5"/>
        <v>0</v>
      </c>
      <c r="FA18">
        <f t="shared" si="5"/>
        <v>0</v>
      </c>
      <c r="FB18">
        <f t="shared" si="5"/>
        <v>0</v>
      </c>
      <c r="FC18">
        <f t="shared" si="5"/>
        <v>0</v>
      </c>
      <c r="FD18">
        <f t="shared" si="5"/>
        <v>0</v>
      </c>
      <c r="FE18">
        <f t="shared" si="5"/>
        <v>0</v>
      </c>
      <c r="FF18">
        <f t="shared" si="5"/>
        <v>0</v>
      </c>
      <c r="FG18">
        <f t="shared" si="5"/>
        <v>0</v>
      </c>
      <c r="FH18">
        <f t="shared" si="5"/>
        <v>0</v>
      </c>
      <c r="FI18">
        <f t="shared" si="5"/>
        <v>0</v>
      </c>
      <c r="FJ18">
        <f t="shared" si="5"/>
        <v>0</v>
      </c>
      <c r="FK18">
        <f t="shared" si="5"/>
        <v>0</v>
      </c>
      <c r="FL18">
        <f t="shared" si="5"/>
        <v>0</v>
      </c>
      <c r="FM18">
        <f t="shared" si="5"/>
        <v>0</v>
      </c>
      <c r="FN18">
        <f t="shared" si="5"/>
        <v>0</v>
      </c>
      <c r="FO18">
        <f t="shared" si="5"/>
        <v>0</v>
      </c>
      <c r="FP18">
        <f t="shared" si="5"/>
        <v>0</v>
      </c>
      <c r="FQ18">
        <f t="shared" si="5"/>
        <v>0</v>
      </c>
      <c r="FR18">
        <f t="shared" si="5"/>
        <v>0</v>
      </c>
      <c r="FS18">
        <f t="shared" ref="FS18:GX18" si="6">FS149</f>
        <v>0</v>
      </c>
      <c r="FT18">
        <f t="shared" si="6"/>
        <v>0</v>
      </c>
      <c r="FU18">
        <f t="shared" si="6"/>
        <v>0</v>
      </c>
      <c r="FV18">
        <f t="shared" si="6"/>
        <v>0</v>
      </c>
      <c r="FW18">
        <f t="shared" si="6"/>
        <v>0</v>
      </c>
      <c r="FX18">
        <f t="shared" si="6"/>
        <v>0</v>
      </c>
      <c r="FY18">
        <f t="shared" si="6"/>
        <v>0</v>
      </c>
      <c r="FZ18">
        <f t="shared" si="6"/>
        <v>0</v>
      </c>
      <c r="GA18">
        <f t="shared" si="6"/>
        <v>0</v>
      </c>
      <c r="GB18">
        <f t="shared" si="6"/>
        <v>0</v>
      </c>
      <c r="GC18">
        <f t="shared" si="6"/>
        <v>0</v>
      </c>
      <c r="GD18">
        <f t="shared" si="6"/>
        <v>0</v>
      </c>
      <c r="GE18">
        <f t="shared" si="6"/>
        <v>0</v>
      </c>
      <c r="GF18">
        <f t="shared" si="6"/>
        <v>0</v>
      </c>
      <c r="GG18">
        <f t="shared" si="6"/>
        <v>0</v>
      </c>
      <c r="GH18">
        <f t="shared" si="6"/>
        <v>0</v>
      </c>
      <c r="GI18">
        <f t="shared" si="6"/>
        <v>0</v>
      </c>
      <c r="GJ18">
        <f t="shared" si="6"/>
        <v>0</v>
      </c>
      <c r="GK18">
        <f t="shared" si="6"/>
        <v>0</v>
      </c>
      <c r="GL18">
        <f t="shared" si="6"/>
        <v>0</v>
      </c>
      <c r="GM18">
        <f t="shared" si="6"/>
        <v>0</v>
      </c>
      <c r="GN18">
        <f t="shared" si="6"/>
        <v>0</v>
      </c>
      <c r="GO18">
        <f t="shared" si="6"/>
        <v>0</v>
      </c>
      <c r="GP18">
        <f t="shared" si="6"/>
        <v>0</v>
      </c>
      <c r="GQ18">
        <f t="shared" si="6"/>
        <v>0</v>
      </c>
      <c r="GR18">
        <f t="shared" si="6"/>
        <v>0</v>
      </c>
      <c r="GS18">
        <f t="shared" si="6"/>
        <v>0</v>
      </c>
      <c r="GT18">
        <f t="shared" si="6"/>
        <v>0</v>
      </c>
      <c r="GU18">
        <f t="shared" si="6"/>
        <v>0</v>
      </c>
      <c r="GV18">
        <f t="shared" si="6"/>
        <v>0</v>
      </c>
      <c r="GW18">
        <f t="shared" si="6"/>
        <v>0</v>
      </c>
      <c r="GX18">
        <f t="shared" si="6"/>
        <v>0</v>
      </c>
    </row>
    <row r="20" spans="1:245" x14ac:dyDescent="0.35">
      <c r="A20">
        <v>3</v>
      </c>
      <c r="B20">
        <v>1</v>
      </c>
      <c r="D20">
        <f>ROW(A120)</f>
        <v>120</v>
      </c>
      <c r="G20" t="s">
        <v>54</v>
      </c>
      <c r="I20">
        <v>0</v>
      </c>
      <c r="K20">
        <v>-1</v>
      </c>
      <c r="V20">
        <v>0</v>
      </c>
      <c r="BX20">
        <v>0</v>
      </c>
      <c r="CF20">
        <v>0</v>
      </c>
      <c r="CG20">
        <v>0</v>
      </c>
    </row>
    <row r="22" spans="1:245" x14ac:dyDescent="0.35">
      <c r="A22">
        <v>52</v>
      </c>
      <c r="B22">
        <f t="shared" ref="B22:G22" si="7">B120</f>
        <v>1</v>
      </c>
      <c r="C22">
        <f t="shared" si="7"/>
        <v>3</v>
      </c>
      <c r="D22">
        <f t="shared" si="7"/>
        <v>20</v>
      </c>
      <c r="E22">
        <f t="shared" si="7"/>
        <v>0</v>
      </c>
      <c r="F22" t="str">
        <f t="shared" si="7"/>
        <v/>
      </c>
      <c r="G22" t="str">
        <f t="shared" si="7"/>
        <v>Козино - дорога</v>
      </c>
      <c r="O22">
        <f t="shared" ref="O22:AT22" si="8">O120</f>
        <v>1632700.56</v>
      </c>
      <c r="P22">
        <f t="shared" si="8"/>
        <v>1090023.72</v>
      </c>
      <c r="Q22">
        <f t="shared" si="8"/>
        <v>353668.29</v>
      </c>
      <c r="R22">
        <f t="shared" si="8"/>
        <v>96834.12</v>
      </c>
      <c r="S22">
        <f t="shared" si="8"/>
        <v>189008.55</v>
      </c>
      <c r="T22">
        <f t="shared" si="8"/>
        <v>0</v>
      </c>
      <c r="U22">
        <f t="shared" si="8"/>
        <v>899.93347031999997</v>
      </c>
      <c r="V22">
        <f t="shared" si="8"/>
        <v>322.76300075</v>
      </c>
      <c r="W22">
        <f t="shared" si="8"/>
        <v>12245.94</v>
      </c>
      <c r="X22">
        <f t="shared" si="8"/>
        <v>302764.73</v>
      </c>
      <c r="Y22">
        <f t="shared" si="8"/>
        <v>180223.41</v>
      </c>
      <c r="Z22">
        <f t="shared" si="8"/>
        <v>0</v>
      </c>
      <c r="AA22">
        <f t="shared" si="8"/>
        <v>0</v>
      </c>
      <c r="AB22">
        <f t="shared" si="8"/>
        <v>0</v>
      </c>
      <c r="AC22">
        <f t="shared" si="8"/>
        <v>0</v>
      </c>
      <c r="AD22">
        <f t="shared" si="8"/>
        <v>0</v>
      </c>
      <c r="AE22">
        <f t="shared" si="8"/>
        <v>0</v>
      </c>
      <c r="AF22">
        <f t="shared" si="8"/>
        <v>0</v>
      </c>
      <c r="AG22">
        <f t="shared" si="8"/>
        <v>0</v>
      </c>
      <c r="AH22">
        <f t="shared" si="8"/>
        <v>0</v>
      </c>
      <c r="AI22">
        <f t="shared" si="8"/>
        <v>0</v>
      </c>
      <c r="AJ22">
        <f t="shared" si="8"/>
        <v>0</v>
      </c>
      <c r="AK22">
        <f t="shared" si="8"/>
        <v>0</v>
      </c>
      <c r="AL22">
        <f t="shared" si="8"/>
        <v>0</v>
      </c>
      <c r="AM22">
        <f t="shared" si="8"/>
        <v>0</v>
      </c>
      <c r="AN22">
        <f t="shared" si="8"/>
        <v>0</v>
      </c>
      <c r="AO22">
        <f t="shared" si="8"/>
        <v>0</v>
      </c>
      <c r="AP22">
        <f t="shared" si="8"/>
        <v>0</v>
      </c>
      <c r="AQ22">
        <f t="shared" si="8"/>
        <v>0</v>
      </c>
      <c r="AR22">
        <f t="shared" si="8"/>
        <v>2115688.7000000002</v>
      </c>
      <c r="AS22">
        <f t="shared" si="8"/>
        <v>2115688.7000000002</v>
      </c>
      <c r="AT22">
        <f t="shared" si="8"/>
        <v>0</v>
      </c>
      <c r="AU22">
        <f t="shared" ref="AU22:BZ22" si="9">AU120</f>
        <v>0</v>
      </c>
      <c r="AV22">
        <f t="shared" si="9"/>
        <v>1090023.72</v>
      </c>
      <c r="AW22">
        <f t="shared" si="9"/>
        <v>1090023.72</v>
      </c>
      <c r="AX22">
        <f t="shared" si="9"/>
        <v>0</v>
      </c>
      <c r="AY22">
        <f t="shared" si="9"/>
        <v>1090023.72</v>
      </c>
      <c r="AZ22">
        <f t="shared" si="9"/>
        <v>0</v>
      </c>
      <c r="BA22">
        <f t="shared" si="9"/>
        <v>0</v>
      </c>
      <c r="BB22">
        <f t="shared" si="9"/>
        <v>0</v>
      </c>
      <c r="BC22">
        <f t="shared" si="9"/>
        <v>0</v>
      </c>
      <c r="BD22">
        <f t="shared" si="9"/>
        <v>0</v>
      </c>
      <c r="BE22">
        <f t="shared" si="9"/>
        <v>0</v>
      </c>
      <c r="BF22">
        <f t="shared" si="9"/>
        <v>0</v>
      </c>
      <c r="BG22">
        <f t="shared" si="9"/>
        <v>0</v>
      </c>
      <c r="BH22">
        <f t="shared" si="9"/>
        <v>0</v>
      </c>
      <c r="BI22">
        <f t="shared" si="9"/>
        <v>0</v>
      </c>
      <c r="BJ22">
        <f t="shared" si="9"/>
        <v>0</v>
      </c>
      <c r="BK22">
        <f t="shared" si="9"/>
        <v>0</v>
      </c>
      <c r="BL22">
        <f t="shared" si="9"/>
        <v>0</v>
      </c>
      <c r="BM22">
        <f t="shared" si="9"/>
        <v>0</v>
      </c>
      <c r="BN22">
        <f t="shared" si="9"/>
        <v>0</v>
      </c>
      <c r="BO22">
        <f t="shared" si="9"/>
        <v>0</v>
      </c>
      <c r="BP22">
        <f t="shared" si="9"/>
        <v>0</v>
      </c>
      <c r="BQ22">
        <f t="shared" si="9"/>
        <v>0</v>
      </c>
      <c r="BR22">
        <f t="shared" si="9"/>
        <v>0</v>
      </c>
      <c r="BS22">
        <f t="shared" si="9"/>
        <v>0</v>
      </c>
      <c r="BT22">
        <f t="shared" si="9"/>
        <v>0</v>
      </c>
      <c r="BU22">
        <f t="shared" si="9"/>
        <v>0</v>
      </c>
      <c r="BV22">
        <f t="shared" si="9"/>
        <v>0</v>
      </c>
      <c r="BW22">
        <f t="shared" si="9"/>
        <v>0</v>
      </c>
      <c r="BX22">
        <f t="shared" si="9"/>
        <v>0</v>
      </c>
      <c r="BY22">
        <f t="shared" si="9"/>
        <v>0</v>
      </c>
      <c r="BZ22">
        <f t="shared" si="9"/>
        <v>0</v>
      </c>
      <c r="CA22">
        <f t="shared" ref="CA22:DF22" si="10">CA120</f>
        <v>0</v>
      </c>
      <c r="CB22">
        <f t="shared" si="10"/>
        <v>0</v>
      </c>
      <c r="CC22">
        <f t="shared" si="10"/>
        <v>0</v>
      </c>
      <c r="CD22">
        <f t="shared" si="10"/>
        <v>0</v>
      </c>
      <c r="CE22">
        <f t="shared" si="10"/>
        <v>0</v>
      </c>
      <c r="CF22">
        <f t="shared" si="10"/>
        <v>0</v>
      </c>
      <c r="CG22">
        <f t="shared" si="10"/>
        <v>0</v>
      </c>
      <c r="CH22">
        <f t="shared" si="10"/>
        <v>0</v>
      </c>
      <c r="CI22">
        <f t="shared" si="10"/>
        <v>0</v>
      </c>
      <c r="CJ22">
        <f t="shared" si="10"/>
        <v>0</v>
      </c>
      <c r="CK22">
        <f t="shared" si="10"/>
        <v>0</v>
      </c>
      <c r="CL22">
        <f t="shared" si="10"/>
        <v>0</v>
      </c>
      <c r="CM22">
        <f t="shared" si="10"/>
        <v>0</v>
      </c>
      <c r="CN22">
        <f t="shared" si="10"/>
        <v>0</v>
      </c>
      <c r="CO22">
        <f t="shared" si="10"/>
        <v>0</v>
      </c>
      <c r="CP22">
        <f t="shared" si="10"/>
        <v>0</v>
      </c>
      <c r="CQ22">
        <f t="shared" si="10"/>
        <v>0</v>
      </c>
      <c r="CR22">
        <f t="shared" si="10"/>
        <v>0</v>
      </c>
      <c r="CS22">
        <f t="shared" si="10"/>
        <v>0</v>
      </c>
      <c r="CT22">
        <f t="shared" si="10"/>
        <v>0</v>
      </c>
      <c r="CU22">
        <f t="shared" si="10"/>
        <v>0</v>
      </c>
      <c r="CV22">
        <f t="shared" si="10"/>
        <v>0</v>
      </c>
      <c r="CW22">
        <f t="shared" si="10"/>
        <v>0</v>
      </c>
      <c r="CX22">
        <f t="shared" si="10"/>
        <v>0</v>
      </c>
      <c r="CY22">
        <f t="shared" si="10"/>
        <v>0</v>
      </c>
      <c r="CZ22">
        <f t="shared" si="10"/>
        <v>0</v>
      </c>
      <c r="DA22">
        <f t="shared" si="10"/>
        <v>0</v>
      </c>
      <c r="DB22">
        <f t="shared" si="10"/>
        <v>0</v>
      </c>
      <c r="DC22">
        <f t="shared" si="10"/>
        <v>0</v>
      </c>
      <c r="DD22">
        <f t="shared" si="10"/>
        <v>0</v>
      </c>
      <c r="DE22">
        <f t="shared" si="10"/>
        <v>0</v>
      </c>
      <c r="DF22">
        <f t="shared" si="10"/>
        <v>0</v>
      </c>
      <c r="DG22">
        <f t="shared" ref="DG22:EL22" si="11">DG120</f>
        <v>0</v>
      </c>
      <c r="DH22">
        <f t="shared" si="11"/>
        <v>0</v>
      </c>
      <c r="DI22">
        <f t="shared" si="11"/>
        <v>0</v>
      </c>
      <c r="DJ22">
        <f t="shared" si="11"/>
        <v>0</v>
      </c>
      <c r="DK22">
        <f t="shared" si="11"/>
        <v>0</v>
      </c>
      <c r="DL22">
        <f t="shared" si="11"/>
        <v>0</v>
      </c>
      <c r="DM22">
        <f t="shared" si="11"/>
        <v>0</v>
      </c>
      <c r="DN22">
        <f t="shared" si="11"/>
        <v>0</v>
      </c>
      <c r="DO22">
        <f t="shared" si="11"/>
        <v>0</v>
      </c>
      <c r="DP22">
        <f t="shared" si="11"/>
        <v>0</v>
      </c>
      <c r="DQ22">
        <f t="shared" si="11"/>
        <v>0</v>
      </c>
      <c r="DR22">
        <f t="shared" si="11"/>
        <v>0</v>
      </c>
      <c r="DS22">
        <f t="shared" si="11"/>
        <v>0</v>
      </c>
      <c r="DT22">
        <f t="shared" si="11"/>
        <v>0</v>
      </c>
      <c r="DU22">
        <f t="shared" si="11"/>
        <v>0</v>
      </c>
      <c r="DV22">
        <f t="shared" si="11"/>
        <v>0</v>
      </c>
      <c r="DW22">
        <f t="shared" si="11"/>
        <v>0</v>
      </c>
      <c r="DX22">
        <f t="shared" si="11"/>
        <v>0</v>
      </c>
      <c r="DY22">
        <f t="shared" si="11"/>
        <v>0</v>
      </c>
      <c r="DZ22">
        <f t="shared" si="11"/>
        <v>0</v>
      </c>
      <c r="EA22">
        <f t="shared" si="11"/>
        <v>0</v>
      </c>
      <c r="EB22">
        <f t="shared" si="11"/>
        <v>0</v>
      </c>
      <c r="EC22">
        <f t="shared" si="11"/>
        <v>0</v>
      </c>
      <c r="ED22">
        <f t="shared" si="11"/>
        <v>0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0</v>
      </c>
      <c r="EI22">
        <f t="shared" si="11"/>
        <v>0</v>
      </c>
      <c r="EJ22">
        <f t="shared" si="11"/>
        <v>0</v>
      </c>
      <c r="EK22">
        <f t="shared" si="11"/>
        <v>0</v>
      </c>
      <c r="EL22">
        <f t="shared" si="11"/>
        <v>0</v>
      </c>
      <c r="EM22">
        <f t="shared" ref="EM22:FR22" si="12">EM120</f>
        <v>0</v>
      </c>
      <c r="EN22">
        <f t="shared" si="12"/>
        <v>0</v>
      </c>
      <c r="EO22">
        <f t="shared" si="12"/>
        <v>0</v>
      </c>
      <c r="EP22">
        <f t="shared" si="12"/>
        <v>0</v>
      </c>
      <c r="EQ22">
        <f t="shared" si="12"/>
        <v>0</v>
      </c>
      <c r="ER22">
        <f t="shared" si="12"/>
        <v>0</v>
      </c>
      <c r="ES22">
        <f t="shared" si="12"/>
        <v>0</v>
      </c>
      <c r="ET22">
        <f t="shared" si="12"/>
        <v>0</v>
      </c>
      <c r="EU22">
        <f t="shared" si="12"/>
        <v>0</v>
      </c>
      <c r="EV22">
        <f t="shared" si="12"/>
        <v>0</v>
      </c>
      <c r="EW22">
        <f t="shared" si="12"/>
        <v>0</v>
      </c>
      <c r="EX22">
        <f t="shared" si="12"/>
        <v>0</v>
      </c>
      <c r="EY22">
        <f t="shared" si="12"/>
        <v>0</v>
      </c>
      <c r="EZ22">
        <f t="shared" si="12"/>
        <v>0</v>
      </c>
      <c r="FA22">
        <f t="shared" si="12"/>
        <v>0</v>
      </c>
      <c r="FB22">
        <f t="shared" si="12"/>
        <v>0</v>
      </c>
      <c r="FC22">
        <f t="shared" si="12"/>
        <v>0</v>
      </c>
      <c r="FD22">
        <f t="shared" si="12"/>
        <v>0</v>
      </c>
      <c r="FE22">
        <f t="shared" si="12"/>
        <v>0</v>
      </c>
      <c r="FF22">
        <f t="shared" si="12"/>
        <v>0</v>
      </c>
      <c r="FG22">
        <f t="shared" si="12"/>
        <v>0</v>
      </c>
      <c r="FH22">
        <f t="shared" si="12"/>
        <v>0</v>
      </c>
      <c r="FI22">
        <f t="shared" si="12"/>
        <v>0</v>
      </c>
      <c r="FJ22">
        <f t="shared" si="12"/>
        <v>0</v>
      </c>
      <c r="FK22">
        <f t="shared" si="12"/>
        <v>0</v>
      </c>
      <c r="FL22">
        <f t="shared" si="12"/>
        <v>0</v>
      </c>
      <c r="FM22">
        <f t="shared" si="12"/>
        <v>0</v>
      </c>
      <c r="FN22">
        <f t="shared" si="12"/>
        <v>0</v>
      </c>
      <c r="FO22">
        <f t="shared" si="12"/>
        <v>0</v>
      </c>
      <c r="FP22">
        <f t="shared" si="12"/>
        <v>0</v>
      </c>
      <c r="FQ22">
        <f t="shared" si="12"/>
        <v>0</v>
      </c>
      <c r="FR22">
        <f t="shared" si="12"/>
        <v>0</v>
      </c>
      <c r="FS22">
        <f t="shared" ref="FS22:GX22" si="13">FS120</f>
        <v>0</v>
      </c>
      <c r="FT22">
        <f t="shared" si="13"/>
        <v>0</v>
      </c>
      <c r="FU22">
        <f t="shared" si="13"/>
        <v>0</v>
      </c>
      <c r="FV22">
        <f t="shared" si="13"/>
        <v>0</v>
      </c>
      <c r="FW22">
        <f t="shared" si="13"/>
        <v>0</v>
      </c>
      <c r="FX22">
        <f t="shared" si="13"/>
        <v>0</v>
      </c>
      <c r="FY22">
        <f t="shared" si="13"/>
        <v>0</v>
      </c>
      <c r="FZ22">
        <f t="shared" si="13"/>
        <v>0</v>
      </c>
      <c r="GA22">
        <f t="shared" si="13"/>
        <v>0</v>
      </c>
      <c r="GB22">
        <f t="shared" si="13"/>
        <v>0</v>
      </c>
      <c r="GC22">
        <f t="shared" si="13"/>
        <v>0</v>
      </c>
      <c r="GD22">
        <f t="shared" si="13"/>
        <v>0</v>
      </c>
      <c r="GE22">
        <f t="shared" si="13"/>
        <v>0</v>
      </c>
      <c r="GF22">
        <f t="shared" si="13"/>
        <v>0</v>
      </c>
      <c r="GG22">
        <f t="shared" si="13"/>
        <v>0</v>
      </c>
      <c r="GH22">
        <f t="shared" si="13"/>
        <v>0</v>
      </c>
      <c r="GI22">
        <f t="shared" si="13"/>
        <v>0</v>
      </c>
      <c r="GJ22">
        <f t="shared" si="13"/>
        <v>0</v>
      </c>
      <c r="GK22">
        <f t="shared" si="13"/>
        <v>0</v>
      </c>
      <c r="GL22">
        <f t="shared" si="13"/>
        <v>0</v>
      </c>
      <c r="GM22">
        <f t="shared" si="13"/>
        <v>0</v>
      </c>
      <c r="GN22">
        <f t="shared" si="13"/>
        <v>0</v>
      </c>
      <c r="GO22">
        <f t="shared" si="13"/>
        <v>0</v>
      </c>
      <c r="GP22">
        <f t="shared" si="13"/>
        <v>0</v>
      </c>
      <c r="GQ22">
        <f t="shared" si="13"/>
        <v>0</v>
      </c>
      <c r="GR22">
        <f t="shared" si="13"/>
        <v>0</v>
      </c>
      <c r="GS22">
        <f t="shared" si="13"/>
        <v>0</v>
      </c>
      <c r="GT22">
        <f t="shared" si="13"/>
        <v>0</v>
      </c>
      <c r="GU22">
        <f t="shared" si="13"/>
        <v>0</v>
      </c>
      <c r="GV22">
        <f t="shared" si="13"/>
        <v>0</v>
      </c>
      <c r="GW22">
        <f t="shared" si="13"/>
        <v>0</v>
      </c>
      <c r="GX22">
        <f t="shared" si="13"/>
        <v>0</v>
      </c>
    </row>
    <row r="24" spans="1:245" x14ac:dyDescent="0.35">
      <c r="A24">
        <v>4</v>
      </c>
      <c r="B24">
        <v>1</v>
      </c>
      <c r="D24">
        <f>ROW(A55)</f>
        <v>55</v>
      </c>
      <c r="F24" t="s">
        <v>55</v>
      </c>
      <c r="G24" t="s">
        <v>56</v>
      </c>
      <c r="I24">
        <v>0</v>
      </c>
      <c r="K24">
        <v>-1</v>
      </c>
      <c r="V24">
        <v>0</v>
      </c>
      <c r="BX24">
        <v>0</v>
      </c>
      <c r="CJ24">
        <v>0</v>
      </c>
    </row>
    <row r="26" spans="1:245" x14ac:dyDescent="0.35">
      <c r="A26">
        <v>52</v>
      </c>
      <c r="B26">
        <f t="shared" ref="B26:G26" si="14">B55</f>
        <v>1</v>
      </c>
      <c r="C26">
        <f t="shared" si="14"/>
        <v>4</v>
      </c>
      <c r="D26">
        <f t="shared" si="14"/>
        <v>24</v>
      </c>
      <c r="E26">
        <f t="shared" si="14"/>
        <v>0</v>
      </c>
      <c r="F26" t="str">
        <f t="shared" si="14"/>
        <v>Новый раздел</v>
      </c>
      <c r="G26" t="str">
        <f t="shared" si="14"/>
        <v>Строительные работы</v>
      </c>
      <c r="O26">
        <f t="shared" ref="O26:AT26" si="15">O55</f>
        <v>1599289.57</v>
      </c>
      <c r="P26">
        <f t="shared" si="15"/>
        <v>1090023.72</v>
      </c>
      <c r="Q26">
        <f t="shared" si="15"/>
        <v>326644.71999999997</v>
      </c>
      <c r="R26">
        <f t="shared" si="15"/>
        <v>96834.12</v>
      </c>
      <c r="S26">
        <f t="shared" si="15"/>
        <v>182621.13</v>
      </c>
      <c r="T26">
        <f t="shared" si="15"/>
        <v>0</v>
      </c>
      <c r="U26">
        <f t="shared" si="15"/>
        <v>868.03195199999993</v>
      </c>
      <c r="V26">
        <f t="shared" si="15"/>
        <v>322.76300075</v>
      </c>
      <c r="W26">
        <f t="shared" si="15"/>
        <v>12245.94</v>
      </c>
      <c r="X26">
        <f t="shared" si="15"/>
        <v>302764.73</v>
      </c>
      <c r="Y26">
        <f t="shared" si="15"/>
        <v>180223.41</v>
      </c>
      <c r="Z26">
        <f t="shared" si="15"/>
        <v>0</v>
      </c>
      <c r="AA26">
        <f t="shared" si="15"/>
        <v>0</v>
      </c>
      <c r="AB26">
        <f t="shared" si="15"/>
        <v>1599289.57</v>
      </c>
      <c r="AC26">
        <f t="shared" si="15"/>
        <v>1090023.72</v>
      </c>
      <c r="AD26">
        <f t="shared" si="15"/>
        <v>326644.71999999997</v>
      </c>
      <c r="AE26">
        <f t="shared" si="15"/>
        <v>96834.12</v>
      </c>
      <c r="AF26">
        <f t="shared" si="15"/>
        <v>182621.13</v>
      </c>
      <c r="AG26">
        <f t="shared" si="15"/>
        <v>0</v>
      </c>
      <c r="AH26">
        <f t="shared" si="15"/>
        <v>868.03195199999993</v>
      </c>
      <c r="AI26">
        <f t="shared" si="15"/>
        <v>322.76300075</v>
      </c>
      <c r="AJ26">
        <f t="shared" si="15"/>
        <v>12245.94</v>
      </c>
      <c r="AK26">
        <f t="shared" si="15"/>
        <v>302764.73</v>
      </c>
      <c r="AL26">
        <f t="shared" si="15"/>
        <v>180223.41</v>
      </c>
      <c r="AM26">
        <f t="shared" si="15"/>
        <v>0</v>
      </c>
      <c r="AN26">
        <f t="shared" si="15"/>
        <v>0</v>
      </c>
      <c r="AO26">
        <f t="shared" si="15"/>
        <v>0</v>
      </c>
      <c r="AP26">
        <f t="shared" si="15"/>
        <v>0</v>
      </c>
      <c r="AQ26">
        <f t="shared" si="15"/>
        <v>0</v>
      </c>
      <c r="AR26">
        <f t="shared" si="15"/>
        <v>2082277.71</v>
      </c>
      <c r="AS26">
        <f t="shared" si="15"/>
        <v>2082277.71</v>
      </c>
      <c r="AT26">
        <f t="shared" si="15"/>
        <v>0</v>
      </c>
      <c r="AU26">
        <f t="shared" ref="AU26:BZ26" si="16">AU55</f>
        <v>0</v>
      </c>
      <c r="AV26">
        <f t="shared" si="16"/>
        <v>1090023.72</v>
      </c>
      <c r="AW26">
        <f t="shared" si="16"/>
        <v>1090023.72</v>
      </c>
      <c r="AX26">
        <f t="shared" si="16"/>
        <v>0</v>
      </c>
      <c r="AY26">
        <f t="shared" si="16"/>
        <v>1090023.72</v>
      </c>
      <c r="AZ26">
        <f t="shared" si="16"/>
        <v>0</v>
      </c>
      <c r="BA26">
        <f t="shared" si="16"/>
        <v>0</v>
      </c>
      <c r="BB26">
        <f t="shared" si="16"/>
        <v>0</v>
      </c>
      <c r="BC26">
        <f t="shared" si="16"/>
        <v>0</v>
      </c>
      <c r="BD26">
        <f t="shared" si="16"/>
        <v>0</v>
      </c>
      <c r="BE26">
        <f t="shared" si="16"/>
        <v>0</v>
      </c>
      <c r="BF26">
        <f t="shared" si="16"/>
        <v>0</v>
      </c>
      <c r="BG26">
        <f t="shared" si="16"/>
        <v>0</v>
      </c>
      <c r="BH26">
        <f t="shared" si="16"/>
        <v>0</v>
      </c>
      <c r="BI26">
        <f t="shared" si="16"/>
        <v>0</v>
      </c>
      <c r="BJ26">
        <f t="shared" si="16"/>
        <v>0</v>
      </c>
      <c r="BK26">
        <f t="shared" si="16"/>
        <v>0</v>
      </c>
      <c r="BL26">
        <f t="shared" si="16"/>
        <v>0</v>
      </c>
      <c r="BM26">
        <f t="shared" si="16"/>
        <v>0</v>
      </c>
      <c r="BN26">
        <f t="shared" si="16"/>
        <v>0</v>
      </c>
      <c r="BO26">
        <f t="shared" si="16"/>
        <v>0</v>
      </c>
      <c r="BP26">
        <f t="shared" si="16"/>
        <v>0</v>
      </c>
      <c r="BQ26">
        <f t="shared" si="16"/>
        <v>0</v>
      </c>
      <c r="BR26">
        <f t="shared" si="16"/>
        <v>0</v>
      </c>
      <c r="BS26">
        <f t="shared" si="16"/>
        <v>0</v>
      </c>
      <c r="BT26">
        <f t="shared" si="16"/>
        <v>0</v>
      </c>
      <c r="BU26">
        <f t="shared" si="16"/>
        <v>0</v>
      </c>
      <c r="BV26">
        <f t="shared" si="16"/>
        <v>0</v>
      </c>
      <c r="BW26">
        <f t="shared" si="16"/>
        <v>0</v>
      </c>
      <c r="BX26">
        <f t="shared" si="16"/>
        <v>0</v>
      </c>
      <c r="BY26">
        <f t="shared" si="16"/>
        <v>0</v>
      </c>
      <c r="BZ26">
        <f t="shared" si="16"/>
        <v>0</v>
      </c>
      <c r="CA26">
        <f t="shared" ref="CA26:DF26" si="17">CA55</f>
        <v>2082277.71</v>
      </c>
      <c r="CB26">
        <f t="shared" si="17"/>
        <v>2082277.71</v>
      </c>
      <c r="CC26">
        <f t="shared" si="17"/>
        <v>0</v>
      </c>
      <c r="CD26">
        <f t="shared" si="17"/>
        <v>0</v>
      </c>
      <c r="CE26">
        <f t="shared" si="17"/>
        <v>1090023.72</v>
      </c>
      <c r="CF26">
        <f t="shared" si="17"/>
        <v>1090023.72</v>
      </c>
      <c r="CG26">
        <f t="shared" si="17"/>
        <v>0</v>
      </c>
      <c r="CH26">
        <f t="shared" si="17"/>
        <v>1090023.72</v>
      </c>
      <c r="CI26">
        <f t="shared" si="17"/>
        <v>0</v>
      </c>
      <c r="CJ26">
        <f t="shared" si="17"/>
        <v>0</v>
      </c>
      <c r="CK26">
        <f t="shared" si="17"/>
        <v>0</v>
      </c>
      <c r="CL26">
        <f t="shared" si="17"/>
        <v>0</v>
      </c>
      <c r="CM26">
        <f t="shared" si="17"/>
        <v>0</v>
      </c>
      <c r="CN26">
        <f t="shared" si="17"/>
        <v>0</v>
      </c>
      <c r="CO26">
        <f t="shared" si="17"/>
        <v>0</v>
      </c>
      <c r="CP26">
        <f t="shared" si="17"/>
        <v>0</v>
      </c>
      <c r="CQ26">
        <f t="shared" si="17"/>
        <v>0</v>
      </c>
      <c r="CR26">
        <f t="shared" si="17"/>
        <v>0</v>
      </c>
      <c r="CS26">
        <f t="shared" si="17"/>
        <v>0</v>
      </c>
      <c r="CT26">
        <f t="shared" si="17"/>
        <v>0</v>
      </c>
      <c r="CU26">
        <f t="shared" si="17"/>
        <v>0</v>
      </c>
      <c r="CV26">
        <f t="shared" si="17"/>
        <v>0</v>
      </c>
      <c r="CW26">
        <f t="shared" si="17"/>
        <v>0</v>
      </c>
      <c r="CX26">
        <f t="shared" si="17"/>
        <v>0</v>
      </c>
      <c r="CY26">
        <f t="shared" si="17"/>
        <v>0</v>
      </c>
      <c r="CZ26">
        <f t="shared" si="17"/>
        <v>0</v>
      </c>
      <c r="DA26">
        <f t="shared" si="17"/>
        <v>0</v>
      </c>
      <c r="DB26">
        <f t="shared" si="17"/>
        <v>0</v>
      </c>
      <c r="DC26">
        <f t="shared" si="17"/>
        <v>0</v>
      </c>
      <c r="DD26">
        <f t="shared" si="17"/>
        <v>0</v>
      </c>
      <c r="DE26">
        <f t="shared" si="17"/>
        <v>0</v>
      </c>
      <c r="DF26">
        <f t="shared" si="17"/>
        <v>0</v>
      </c>
      <c r="DG26">
        <f t="shared" ref="DG26:EL26" si="18">DG55</f>
        <v>0</v>
      </c>
      <c r="DH26">
        <f t="shared" si="18"/>
        <v>0</v>
      </c>
      <c r="DI26">
        <f t="shared" si="18"/>
        <v>0</v>
      </c>
      <c r="DJ26">
        <f t="shared" si="18"/>
        <v>0</v>
      </c>
      <c r="DK26">
        <f t="shared" si="18"/>
        <v>0</v>
      </c>
      <c r="DL26">
        <f t="shared" si="18"/>
        <v>0</v>
      </c>
      <c r="DM26">
        <f t="shared" si="18"/>
        <v>0</v>
      </c>
      <c r="DN26">
        <f t="shared" si="18"/>
        <v>0</v>
      </c>
      <c r="DO26">
        <f t="shared" si="18"/>
        <v>0</v>
      </c>
      <c r="DP26">
        <f t="shared" si="18"/>
        <v>0</v>
      </c>
      <c r="DQ26">
        <f t="shared" si="18"/>
        <v>0</v>
      </c>
      <c r="DR26">
        <f t="shared" si="18"/>
        <v>0</v>
      </c>
      <c r="DS26">
        <f t="shared" si="18"/>
        <v>0</v>
      </c>
      <c r="DT26">
        <f t="shared" si="18"/>
        <v>0</v>
      </c>
      <c r="DU26">
        <f t="shared" si="18"/>
        <v>0</v>
      </c>
      <c r="DV26">
        <f t="shared" si="18"/>
        <v>0</v>
      </c>
      <c r="DW26">
        <f t="shared" si="18"/>
        <v>0</v>
      </c>
      <c r="DX26">
        <f t="shared" si="18"/>
        <v>0</v>
      </c>
      <c r="DY26">
        <f t="shared" si="18"/>
        <v>0</v>
      </c>
      <c r="DZ26">
        <f t="shared" si="18"/>
        <v>0</v>
      </c>
      <c r="EA26">
        <f t="shared" si="18"/>
        <v>0</v>
      </c>
      <c r="EB26">
        <f t="shared" si="18"/>
        <v>0</v>
      </c>
      <c r="EC26">
        <f t="shared" si="18"/>
        <v>0</v>
      </c>
      <c r="ED26">
        <f t="shared" si="18"/>
        <v>0</v>
      </c>
      <c r="EE26">
        <f t="shared" si="18"/>
        <v>0</v>
      </c>
      <c r="EF26">
        <f t="shared" si="18"/>
        <v>0</v>
      </c>
      <c r="EG26">
        <f t="shared" si="18"/>
        <v>0</v>
      </c>
      <c r="EH26">
        <f t="shared" si="18"/>
        <v>0</v>
      </c>
      <c r="EI26">
        <f t="shared" si="18"/>
        <v>0</v>
      </c>
      <c r="EJ26">
        <f t="shared" si="18"/>
        <v>0</v>
      </c>
      <c r="EK26">
        <f t="shared" si="18"/>
        <v>0</v>
      </c>
      <c r="EL26">
        <f t="shared" si="18"/>
        <v>0</v>
      </c>
      <c r="EM26">
        <f t="shared" ref="EM26:FR26" si="19">EM55</f>
        <v>0</v>
      </c>
      <c r="EN26">
        <f t="shared" si="19"/>
        <v>0</v>
      </c>
      <c r="EO26">
        <f t="shared" si="19"/>
        <v>0</v>
      </c>
      <c r="EP26">
        <f t="shared" si="19"/>
        <v>0</v>
      </c>
      <c r="EQ26">
        <f t="shared" si="19"/>
        <v>0</v>
      </c>
      <c r="ER26">
        <f t="shared" si="19"/>
        <v>0</v>
      </c>
      <c r="ES26">
        <f t="shared" si="19"/>
        <v>0</v>
      </c>
      <c r="ET26">
        <f t="shared" si="19"/>
        <v>0</v>
      </c>
      <c r="EU26">
        <f t="shared" si="19"/>
        <v>0</v>
      </c>
      <c r="EV26">
        <f t="shared" si="19"/>
        <v>0</v>
      </c>
      <c r="EW26">
        <f t="shared" si="19"/>
        <v>0</v>
      </c>
      <c r="EX26">
        <f t="shared" si="19"/>
        <v>0</v>
      </c>
      <c r="EY26">
        <f t="shared" si="19"/>
        <v>0</v>
      </c>
      <c r="EZ26">
        <f t="shared" si="19"/>
        <v>0</v>
      </c>
      <c r="FA26">
        <f t="shared" si="19"/>
        <v>0</v>
      </c>
      <c r="FB26">
        <f t="shared" si="19"/>
        <v>0</v>
      </c>
      <c r="FC26">
        <f t="shared" si="19"/>
        <v>0</v>
      </c>
      <c r="FD26">
        <f t="shared" si="19"/>
        <v>0</v>
      </c>
      <c r="FE26">
        <f t="shared" si="19"/>
        <v>0</v>
      </c>
      <c r="FF26">
        <f t="shared" si="19"/>
        <v>0</v>
      </c>
      <c r="FG26">
        <f t="shared" si="19"/>
        <v>0</v>
      </c>
      <c r="FH26">
        <f t="shared" si="19"/>
        <v>0</v>
      </c>
      <c r="FI26">
        <f t="shared" si="19"/>
        <v>0</v>
      </c>
      <c r="FJ26">
        <f t="shared" si="19"/>
        <v>0</v>
      </c>
      <c r="FK26">
        <f t="shared" si="19"/>
        <v>0</v>
      </c>
      <c r="FL26">
        <f t="shared" si="19"/>
        <v>0</v>
      </c>
      <c r="FM26">
        <f t="shared" si="19"/>
        <v>0</v>
      </c>
      <c r="FN26">
        <f t="shared" si="19"/>
        <v>0</v>
      </c>
      <c r="FO26">
        <f t="shared" si="19"/>
        <v>0</v>
      </c>
      <c r="FP26">
        <f t="shared" si="19"/>
        <v>0</v>
      </c>
      <c r="FQ26">
        <f t="shared" si="19"/>
        <v>0</v>
      </c>
      <c r="FR26">
        <f t="shared" si="19"/>
        <v>0</v>
      </c>
      <c r="FS26">
        <f t="shared" ref="FS26:GX26" si="20">FS55</f>
        <v>0</v>
      </c>
      <c r="FT26">
        <f t="shared" si="20"/>
        <v>0</v>
      </c>
      <c r="FU26">
        <f t="shared" si="20"/>
        <v>0</v>
      </c>
      <c r="FV26">
        <f t="shared" si="20"/>
        <v>0</v>
      </c>
      <c r="FW26">
        <f t="shared" si="20"/>
        <v>0</v>
      </c>
      <c r="FX26">
        <f t="shared" si="20"/>
        <v>0</v>
      </c>
      <c r="FY26">
        <f t="shared" si="20"/>
        <v>0</v>
      </c>
      <c r="FZ26">
        <f t="shared" si="20"/>
        <v>0</v>
      </c>
      <c r="GA26">
        <f t="shared" si="20"/>
        <v>0</v>
      </c>
      <c r="GB26">
        <f t="shared" si="20"/>
        <v>0</v>
      </c>
      <c r="GC26">
        <f t="shared" si="20"/>
        <v>0</v>
      </c>
      <c r="GD26">
        <f t="shared" si="20"/>
        <v>0</v>
      </c>
      <c r="GE26">
        <f t="shared" si="20"/>
        <v>0</v>
      </c>
      <c r="GF26">
        <f t="shared" si="20"/>
        <v>0</v>
      </c>
      <c r="GG26">
        <f t="shared" si="20"/>
        <v>0</v>
      </c>
      <c r="GH26">
        <f t="shared" si="20"/>
        <v>0</v>
      </c>
      <c r="GI26">
        <f t="shared" si="20"/>
        <v>0</v>
      </c>
      <c r="GJ26">
        <f t="shared" si="20"/>
        <v>0</v>
      </c>
      <c r="GK26">
        <f t="shared" si="20"/>
        <v>0</v>
      </c>
      <c r="GL26">
        <f t="shared" si="20"/>
        <v>0</v>
      </c>
      <c r="GM26">
        <f t="shared" si="20"/>
        <v>0</v>
      </c>
      <c r="GN26">
        <f t="shared" si="20"/>
        <v>0</v>
      </c>
      <c r="GO26">
        <f t="shared" si="20"/>
        <v>0</v>
      </c>
      <c r="GP26">
        <f t="shared" si="20"/>
        <v>0</v>
      </c>
      <c r="GQ26">
        <f t="shared" si="20"/>
        <v>0</v>
      </c>
      <c r="GR26">
        <f t="shared" si="20"/>
        <v>0</v>
      </c>
      <c r="GS26">
        <f t="shared" si="20"/>
        <v>0</v>
      </c>
      <c r="GT26">
        <f t="shared" si="20"/>
        <v>0</v>
      </c>
      <c r="GU26">
        <f t="shared" si="20"/>
        <v>0</v>
      </c>
      <c r="GV26">
        <f t="shared" si="20"/>
        <v>0</v>
      </c>
      <c r="GW26">
        <f t="shared" si="20"/>
        <v>0</v>
      </c>
      <c r="GX26">
        <f t="shared" si="20"/>
        <v>0</v>
      </c>
    </row>
    <row r="28" spans="1:245" x14ac:dyDescent="0.35">
      <c r="A28">
        <v>17</v>
      </c>
      <c r="B28">
        <v>1</v>
      </c>
      <c r="C28">
        <f>ROW(SmtRes!A5)</f>
        <v>5</v>
      </c>
      <c r="D28">
        <f>ROW(EtalonRes!A5)</f>
        <v>5</v>
      </c>
      <c r="E28" t="s">
        <v>57</v>
      </c>
      <c r="F28" t="s">
        <v>58</v>
      </c>
      <c r="G28" t="s">
        <v>59</v>
      </c>
      <c r="H28" t="s">
        <v>60</v>
      </c>
      <c r="I28">
        <f>ROUND((173.2)/1000,9)</f>
        <v>0.17319999999999999</v>
      </c>
      <c r="J28">
        <v>0</v>
      </c>
      <c r="O28">
        <f t="shared" ref="O28:O53" si="21">ROUND(CP28,2)</f>
        <v>5610.11</v>
      </c>
      <c r="P28">
        <f t="shared" ref="P28:P53" si="22">ROUND(CQ28*I28,2)</f>
        <v>7.05</v>
      </c>
      <c r="Q28">
        <f t="shared" ref="Q28:Q53" si="23">ROUND(CR28*I28,2)</f>
        <v>5246.68</v>
      </c>
      <c r="R28">
        <f t="shared" ref="R28:R53" si="24">ROUND(CS28*I28,2)</f>
        <v>1944.28</v>
      </c>
      <c r="S28">
        <f t="shared" ref="S28:S53" si="25">ROUND(CT28*I28,2)</f>
        <v>356.38</v>
      </c>
      <c r="T28">
        <f t="shared" ref="T28:T53" si="26">ROUND(CU28*I28,2)</f>
        <v>0</v>
      </c>
      <c r="U28">
        <f t="shared" ref="U28:U53" si="27">CV28*I28</f>
        <v>1.8483903999999998</v>
      </c>
      <c r="V28">
        <f t="shared" ref="V28:V53" si="28">CW28*I28</f>
        <v>5.8260149999999999</v>
      </c>
      <c r="W28">
        <f t="shared" ref="W28:W53" si="29">ROUND(CX28*I28,2)</f>
        <v>0</v>
      </c>
      <c r="X28">
        <f t="shared" ref="X28:X53" si="30">ROUND(CY28,2)</f>
        <v>1679.48</v>
      </c>
      <c r="Y28">
        <f t="shared" ref="Y28:Y53" si="31">ROUND(CZ28,2)</f>
        <v>782.22</v>
      </c>
      <c r="AA28">
        <v>502564877</v>
      </c>
      <c r="AB28">
        <f t="shared" ref="AB28:AB53" si="32">ROUND((AC28+AD28+AF28),6)</f>
        <v>3950.337</v>
      </c>
      <c r="AC28">
        <f t="shared" ref="AC28:AC53" si="33">ROUND((ES28),6)</f>
        <v>3.25</v>
      </c>
      <c r="AD28">
        <f>ROUND(((((ET28*1.25))-((EU28*1.25)))+AE28),6)</f>
        <v>3863.85</v>
      </c>
      <c r="AE28">
        <f>ROUND(((EU28*1.25)),6)</f>
        <v>454.11250000000001</v>
      </c>
      <c r="AF28">
        <f>ROUND(((EV28*1.15)),6)</f>
        <v>83.236999999999995</v>
      </c>
      <c r="AG28">
        <f t="shared" ref="AG28:AG53" si="34">ROUND((AP28),6)</f>
        <v>0</v>
      </c>
      <c r="AH28">
        <f>((EW28*1.15))</f>
        <v>10.671999999999999</v>
      </c>
      <c r="AI28">
        <f>((EX28*1.25))</f>
        <v>33.637500000000003</v>
      </c>
      <c r="AJ28">
        <f t="shared" ref="AJ28:AJ53" si="35">ROUND((AS28),6)</f>
        <v>0</v>
      </c>
      <c r="AK28">
        <v>3166.71</v>
      </c>
      <c r="AL28">
        <v>3.25</v>
      </c>
      <c r="AM28">
        <v>3091.08</v>
      </c>
      <c r="AN28">
        <v>363.29</v>
      </c>
      <c r="AO28">
        <v>72.38</v>
      </c>
      <c r="AP28">
        <v>0</v>
      </c>
      <c r="AQ28">
        <v>9.2799999999999994</v>
      </c>
      <c r="AR28">
        <v>26.91</v>
      </c>
      <c r="AS28">
        <v>0</v>
      </c>
      <c r="AT28">
        <v>73</v>
      </c>
      <c r="AU28">
        <v>34</v>
      </c>
      <c r="AV28">
        <v>1</v>
      </c>
      <c r="AW28">
        <v>1</v>
      </c>
      <c r="AZ28">
        <v>1</v>
      </c>
      <c r="BA28">
        <v>24.72</v>
      </c>
      <c r="BB28">
        <v>7.84</v>
      </c>
      <c r="BC28">
        <v>12.53</v>
      </c>
      <c r="BH28">
        <v>0</v>
      </c>
      <c r="BI28">
        <v>1</v>
      </c>
      <c r="BJ28" t="s">
        <v>61</v>
      </c>
      <c r="BM28">
        <v>1001</v>
      </c>
      <c r="BN28">
        <v>0</v>
      </c>
      <c r="BO28" t="s">
        <v>58</v>
      </c>
      <c r="BP28">
        <v>1</v>
      </c>
      <c r="BQ28">
        <v>2</v>
      </c>
      <c r="BR28">
        <v>0</v>
      </c>
      <c r="BS28">
        <v>24.72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50</v>
      </c>
      <c r="CF28">
        <v>0</v>
      </c>
      <c r="CG28">
        <v>0</v>
      </c>
      <c r="CM28">
        <v>0</v>
      </c>
      <c r="CN28" t="s">
        <v>62</v>
      </c>
      <c r="CO28">
        <v>0</v>
      </c>
      <c r="CP28">
        <f t="shared" ref="CP28:CP53" si="36">(P28+Q28+S28)</f>
        <v>5610.1100000000006</v>
      </c>
      <c r="CQ28">
        <f t="shared" ref="CQ28:CQ53" si="37">AC28*BC28</f>
        <v>40.722499999999997</v>
      </c>
      <c r="CR28">
        <f t="shared" ref="CR28:CR53" si="38">AD28*BB28</f>
        <v>30292.583999999999</v>
      </c>
      <c r="CS28">
        <f t="shared" ref="CS28:CS53" si="39">AE28*BS28</f>
        <v>11225.661</v>
      </c>
      <c r="CT28">
        <f t="shared" ref="CT28:CT53" si="40">AF28*BA28</f>
        <v>2057.6186399999997</v>
      </c>
      <c r="CU28">
        <f t="shared" ref="CU28:CU53" si="41">AG28</f>
        <v>0</v>
      </c>
      <c r="CV28">
        <f t="shared" ref="CV28:CV53" si="42">AH28</f>
        <v>10.671999999999999</v>
      </c>
      <c r="CW28">
        <f t="shared" ref="CW28:CW53" si="43">AI28</f>
        <v>33.637500000000003</v>
      </c>
      <c r="CX28">
        <f t="shared" ref="CX28:CX53" si="44">AJ28</f>
        <v>0</v>
      </c>
      <c r="CY28">
        <f t="shared" ref="CY28:CY53" si="45">(((S28+R28)*AT28)/100)</f>
        <v>1679.4818</v>
      </c>
      <c r="CZ28">
        <f t="shared" ref="CZ28:CZ53" si="46">(((S28+R28)*AU28)/100)</f>
        <v>782.22440000000006</v>
      </c>
      <c r="DE28" t="s">
        <v>63</v>
      </c>
      <c r="DF28" t="s">
        <v>63</v>
      </c>
      <c r="DG28" t="s">
        <v>64</v>
      </c>
      <c r="DI28" t="s">
        <v>64</v>
      </c>
      <c r="DJ28" t="s">
        <v>63</v>
      </c>
      <c r="DN28">
        <v>0</v>
      </c>
      <c r="DO28">
        <v>0</v>
      </c>
      <c r="DP28">
        <v>1</v>
      </c>
      <c r="DQ28">
        <v>1</v>
      </c>
      <c r="DU28">
        <v>1007</v>
      </c>
      <c r="DV28" t="s">
        <v>60</v>
      </c>
      <c r="DW28" t="s">
        <v>60</v>
      </c>
      <c r="DX28">
        <v>1.9</v>
      </c>
      <c r="EE28">
        <v>502285953</v>
      </c>
      <c r="EF28">
        <v>2</v>
      </c>
      <c r="EG28" t="s">
        <v>65</v>
      </c>
      <c r="EH28">
        <v>0</v>
      </c>
      <c r="EJ28">
        <v>1</v>
      </c>
      <c r="EK28">
        <v>1001</v>
      </c>
      <c r="EL28" t="s">
        <v>66</v>
      </c>
      <c r="EM28" t="s">
        <v>67</v>
      </c>
      <c r="EO28" t="s">
        <v>68</v>
      </c>
      <c r="EQ28">
        <v>0</v>
      </c>
      <c r="ER28">
        <v>3166.71</v>
      </c>
      <c r="ES28">
        <v>3.25</v>
      </c>
      <c r="ET28">
        <v>3091.08</v>
      </c>
      <c r="EU28">
        <v>363.29</v>
      </c>
      <c r="EV28">
        <v>72.38</v>
      </c>
      <c r="EW28">
        <v>9.2799999999999994</v>
      </c>
      <c r="EX28">
        <v>26.91</v>
      </c>
      <c r="EY28">
        <v>0</v>
      </c>
      <c r="FQ28">
        <v>0</v>
      </c>
      <c r="FR28">
        <f t="shared" ref="FR28:FR53" si="47">ROUND(IF(AND(BH28=3,BI28=3),P28,0),2)</f>
        <v>0</v>
      </c>
      <c r="FS28">
        <v>0</v>
      </c>
      <c r="FT28" t="s">
        <v>69</v>
      </c>
      <c r="FU28" t="s">
        <v>70</v>
      </c>
      <c r="FV28" t="s">
        <v>70</v>
      </c>
      <c r="FW28" t="s">
        <v>71</v>
      </c>
      <c r="FX28">
        <v>85.5</v>
      </c>
      <c r="FY28">
        <v>42.5</v>
      </c>
      <c r="GD28">
        <v>0</v>
      </c>
      <c r="GF28">
        <v>-1993589248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ref="GL28:GL53" si="48">ROUND(IF(AND(BH28=3,BI28=3,FS28&lt;&gt;0),P28,0),2)</f>
        <v>0</v>
      </c>
      <c r="GM28">
        <f t="shared" ref="GM28:GM53" si="49">ROUND(O28+X28+Y28+GK28,2)+GX28</f>
        <v>8071.81</v>
      </c>
      <c r="GN28">
        <f t="shared" ref="GN28:GN53" si="50">IF(OR(BI28=0,BI28=1),ROUND(O28+X28+Y28+GK28,2),0)</f>
        <v>8071.81</v>
      </c>
      <c r="GO28">
        <f t="shared" ref="GO28:GO53" si="51">IF(BI28=2,ROUND(O28+X28+Y28+GK28,2),0)</f>
        <v>0</v>
      </c>
      <c r="GP28">
        <f t="shared" ref="GP28:GP53" si="52">IF(BI28=4,ROUND(O28+X28+Y28+GK28,2)+GX28,0)</f>
        <v>0</v>
      </c>
      <c r="GR28">
        <v>0</v>
      </c>
      <c r="GS28">
        <v>3</v>
      </c>
      <c r="GT28">
        <v>0</v>
      </c>
      <c r="GV28">
        <f t="shared" ref="GV28:GV53" si="53">ROUND(GT28,6)</f>
        <v>0</v>
      </c>
      <c r="GW28">
        <v>1</v>
      </c>
      <c r="GX28">
        <f t="shared" ref="GX28:GX53" si="54">ROUND(GV28*GW28*I28,2)</f>
        <v>0</v>
      </c>
      <c r="HA28">
        <v>0</v>
      </c>
      <c r="HB28">
        <v>0</v>
      </c>
      <c r="IK28">
        <v>0</v>
      </c>
    </row>
    <row r="29" spans="1:245" x14ac:dyDescent="0.35">
      <c r="A29">
        <v>17</v>
      </c>
      <c r="B29">
        <v>1</v>
      </c>
      <c r="C29">
        <f>ROW(SmtRes!A6)</f>
        <v>6</v>
      </c>
      <c r="D29">
        <f>ROW(EtalonRes!A6)</f>
        <v>6</v>
      </c>
      <c r="E29" t="s">
        <v>72</v>
      </c>
      <c r="F29" t="s">
        <v>73</v>
      </c>
      <c r="G29" t="s">
        <v>74</v>
      </c>
      <c r="H29" t="s">
        <v>75</v>
      </c>
      <c r="I29">
        <f>ROUND(I28*1000*1.8,9)</f>
        <v>311.76</v>
      </c>
      <c r="J29">
        <v>0</v>
      </c>
      <c r="O29">
        <f t="shared" si="21"/>
        <v>44983.6</v>
      </c>
      <c r="P29">
        <f t="shared" si="22"/>
        <v>0</v>
      </c>
      <c r="Q29">
        <f t="shared" si="23"/>
        <v>44983.6</v>
      </c>
      <c r="R29">
        <f t="shared" si="24"/>
        <v>0</v>
      </c>
      <c r="S29">
        <f t="shared" si="25"/>
        <v>0</v>
      </c>
      <c r="T29">
        <f t="shared" si="26"/>
        <v>0</v>
      </c>
      <c r="U29">
        <f t="shared" si="27"/>
        <v>0</v>
      </c>
      <c r="V29">
        <f t="shared" si="28"/>
        <v>0</v>
      </c>
      <c r="W29">
        <f t="shared" si="29"/>
        <v>0</v>
      </c>
      <c r="X29">
        <f t="shared" si="30"/>
        <v>0</v>
      </c>
      <c r="Y29">
        <f t="shared" si="31"/>
        <v>0</v>
      </c>
      <c r="AA29">
        <v>502564877</v>
      </c>
      <c r="AB29">
        <f t="shared" si="32"/>
        <v>19.29</v>
      </c>
      <c r="AC29">
        <f t="shared" si="33"/>
        <v>0</v>
      </c>
      <c r="AD29">
        <f>ROUND(((ET29)+ROUND(((EU29)*1.85),2)),6)</f>
        <v>19.29</v>
      </c>
      <c r="AE29">
        <f>ROUND(((EU29)+ROUND(((EU29)*1.85),2)),6)</f>
        <v>0</v>
      </c>
      <c r="AF29">
        <f>ROUND(((EV29)+ROUND(((EV29)*1.85),2)),6)</f>
        <v>0</v>
      </c>
      <c r="AG29">
        <f t="shared" si="34"/>
        <v>0</v>
      </c>
      <c r="AH29">
        <f>(EW29)</f>
        <v>0</v>
      </c>
      <c r="AI29">
        <f>(EX29)</f>
        <v>0</v>
      </c>
      <c r="AJ29">
        <f t="shared" si="35"/>
        <v>0</v>
      </c>
      <c r="AK29">
        <v>19.29</v>
      </c>
      <c r="AL29">
        <v>0</v>
      </c>
      <c r="AM29">
        <v>19.29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7.48</v>
      </c>
      <c r="BB29">
        <v>7.48</v>
      </c>
      <c r="BC29">
        <v>7.48</v>
      </c>
      <c r="BH29">
        <v>0</v>
      </c>
      <c r="BI29">
        <v>1</v>
      </c>
      <c r="BJ29" t="s">
        <v>76</v>
      </c>
      <c r="BM29">
        <v>700001</v>
      </c>
      <c r="BN29">
        <v>0</v>
      </c>
      <c r="BP29">
        <v>0</v>
      </c>
      <c r="BQ29">
        <v>10</v>
      </c>
      <c r="BR29">
        <v>0</v>
      </c>
      <c r="BS29">
        <v>7.48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36"/>
        <v>44983.6</v>
      </c>
      <c r="CQ29">
        <f t="shared" si="37"/>
        <v>0</v>
      </c>
      <c r="CR29">
        <f t="shared" si="38"/>
        <v>144.28919999999999</v>
      </c>
      <c r="CS29">
        <f t="shared" si="39"/>
        <v>0</v>
      </c>
      <c r="CT29">
        <f t="shared" si="40"/>
        <v>0</v>
      </c>
      <c r="CU29">
        <f t="shared" si="41"/>
        <v>0</v>
      </c>
      <c r="CV29">
        <f t="shared" si="42"/>
        <v>0</v>
      </c>
      <c r="CW29">
        <f t="shared" si="43"/>
        <v>0</v>
      </c>
      <c r="CX29">
        <f t="shared" si="44"/>
        <v>0</v>
      </c>
      <c r="CY29">
        <f t="shared" si="45"/>
        <v>0</v>
      </c>
      <c r="CZ29">
        <f t="shared" si="46"/>
        <v>0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75</v>
      </c>
      <c r="DW29" t="s">
        <v>75</v>
      </c>
      <c r="DX29">
        <v>1</v>
      </c>
      <c r="EE29">
        <v>502285917</v>
      </c>
      <c r="EF29">
        <v>10</v>
      </c>
      <c r="EG29" t="s">
        <v>77</v>
      </c>
      <c r="EH29">
        <v>0</v>
      </c>
      <c r="EJ29">
        <v>1</v>
      </c>
      <c r="EK29">
        <v>700001</v>
      </c>
      <c r="EL29" t="s">
        <v>78</v>
      </c>
      <c r="EM29" t="s">
        <v>79</v>
      </c>
      <c r="EQ29">
        <v>0</v>
      </c>
      <c r="ER29">
        <v>19.29</v>
      </c>
      <c r="ES29">
        <v>0</v>
      </c>
      <c r="ET29">
        <v>19.29</v>
      </c>
      <c r="EU29">
        <v>0</v>
      </c>
      <c r="EV29">
        <v>0</v>
      </c>
      <c r="EW29">
        <v>0</v>
      </c>
      <c r="EX29">
        <v>0</v>
      </c>
      <c r="EY29">
        <v>0</v>
      </c>
      <c r="FQ29">
        <v>0</v>
      </c>
      <c r="FR29">
        <f t="shared" si="47"/>
        <v>0</v>
      </c>
      <c r="FS29">
        <v>0</v>
      </c>
      <c r="FX29">
        <v>0</v>
      </c>
      <c r="FY29">
        <v>0</v>
      </c>
      <c r="GD29">
        <v>0</v>
      </c>
      <c r="GF29">
        <v>-260295266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48"/>
        <v>0</v>
      </c>
      <c r="GM29">
        <f t="shared" si="49"/>
        <v>44983.6</v>
      </c>
      <c r="GN29">
        <f t="shared" si="50"/>
        <v>44983.6</v>
      </c>
      <c r="GO29">
        <f t="shared" si="51"/>
        <v>0</v>
      </c>
      <c r="GP29">
        <f t="shared" si="52"/>
        <v>0</v>
      </c>
      <c r="GR29">
        <v>0</v>
      </c>
      <c r="GS29">
        <v>3</v>
      </c>
      <c r="GT29">
        <v>0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IK29">
        <v>0</v>
      </c>
    </row>
    <row r="30" spans="1:245" x14ac:dyDescent="0.35">
      <c r="A30">
        <v>17</v>
      </c>
      <c r="B30">
        <v>1</v>
      </c>
      <c r="C30">
        <f>ROW(SmtRes!A17)</f>
        <v>17</v>
      </c>
      <c r="D30">
        <f>ROW(EtalonRes!A17)</f>
        <v>17</v>
      </c>
      <c r="E30" t="s">
        <v>80</v>
      </c>
      <c r="F30" t="s">
        <v>81</v>
      </c>
      <c r="G30" t="s">
        <v>82</v>
      </c>
      <c r="H30" t="s">
        <v>83</v>
      </c>
      <c r="I30">
        <f>ROUND((29.5)/100,9)</f>
        <v>0.29499999999999998</v>
      </c>
      <c r="J30">
        <v>0</v>
      </c>
      <c r="O30">
        <f t="shared" si="21"/>
        <v>11155.86</v>
      </c>
      <c r="P30">
        <f t="shared" si="22"/>
        <v>7773.24</v>
      </c>
      <c r="Q30">
        <f t="shared" si="23"/>
        <v>673.1</v>
      </c>
      <c r="R30">
        <f t="shared" si="24"/>
        <v>437.64</v>
      </c>
      <c r="S30">
        <f t="shared" si="25"/>
        <v>2709.52</v>
      </c>
      <c r="T30">
        <f t="shared" si="26"/>
        <v>0</v>
      </c>
      <c r="U30">
        <f t="shared" si="27"/>
        <v>13.190039999999998</v>
      </c>
      <c r="V30">
        <f t="shared" si="28"/>
        <v>1.5598125</v>
      </c>
      <c r="W30">
        <f t="shared" si="29"/>
        <v>0</v>
      </c>
      <c r="X30">
        <f t="shared" si="30"/>
        <v>3430.4</v>
      </c>
      <c r="Y30">
        <f t="shared" si="31"/>
        <v>2045.65</v>
      </c>
      <c r="AA30">
        <v>502564877</v>
      </c>
      <c r="AB30">
        <f t="shared" si="32"/>
        <v>3747.9059999999999</v>
      </c>
      <c r="AC30">
        <f t="shared" si="33"/>
        <v>3140.64</v>
      </c>
      <c r="AD30">
        <f>ROUND(((((ET30*1.25))-((EU30*1.25)))+AE30),6)</f>
        <v>235.71250000000001</v>
      </c>
      <c r="AE30">
        <f>ROUND(((EU30*1.25)),6)</f>
        <v>60.012500000000003</v>
      </c>
      <c r="AF30">
        <f>ROUND(((EV30*1.15)),6)</f>
        <v>371.55349999999999</v>
      </c>
      <c r="AG30">
        <f t="shared" si="34"/>
        <v>0</v>
      </c>
      <c r="AH30">
        <f>((EW30*1.15))</f>
        <v>44.711999999999996</v>
      </c>
      <c r="AI30">
        <f>((EX30*1.25))</f>
        <v>5.2875000000000005</v>
      </c>
      <c r="AJ30">
        <f t="shared" si="35"/>
        <v>0</v>
      </c>
      <c r="AK30">
        <v>3652.3</v>
      </c>
      <c r="AL30">
        <v>3140.64</v>
      </c>
      <c r="AM30">
        <v>188.57</v>
      </c>
      <c r="AN30">
        <v>48.01</v>
      </c>
      <c r="AO30">
        <v>323.08999999999997</v>
      </c>
      <c r="AP30">
        <v>0</v>
      </c>
      <c r="AQ30">
        <v>38.880000000000003</v>
      </c>
      <c r="AR30">
        <v>4.2300000000000004</v>
      </c>
      <c r="AS30">
        <v>0</v>
      </c>
      <c r="AT30">
        <v>109</v>
      </c>
      <c r="AU30">
        <v>65</v>
      </c>
      <c r="AV30">
        <v>1</v>
      </c>
      <c r="AW30">
        <v>1</v>
      </c>
      <c r="AZ30">
        <v>1</v>
      </c>
      <c r="BA30">
        <v>24.72</v>
      </c>
      <c r="BB30">
        <v>9.68</v>
      </c>
      <c r="BC30">
        <v>8.39</v>
      </c>
      <c r="BH30">
        <v>0</v>
      </c>
      <c r="BI30">
        <v>1</v>
      </c>
      <c r="BJ30" t="s">
        <v>84</v>
      </c>
      <c r="BM30">
        <v>27001</v>
      </c>
      <c r="BN30">
        <v>0</v>
      </c>
      <c r="BO30" t="s">
        <v>81</v>
      </c>
      <c r="BP30">
        <v>1</v>
      </c>
      <c r="BQ30">
        <v>2</v>
      </c>
      <c r="BR30">
        <v>0</v>
      </c>
      <c r="BS30">
        <v>24.72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142</v>
      </c>
      <c r="CA30">
        <v>95</v>
      </c>
      <c r="CF30">
        <v>0</v>
      </c>
      <c r="CG30">
        <v>0</v>
      </c>
      <c r="CM30">
        <v>0</v>
      </c>
      <c r="CN30" t="s">
        <v>62</v>
      </c>
      <c r="CO30">
        <v>0</v>
      </c>
      <c r="CP30">
        <f t="shared" si="36"/>
        <v>11155.86</v>
      </c>
      <c r="CQ30">
        <f t="shared" si="37"/>
        <v>26349.9696</v>
      </c>
      <c r="CR30">
        <f t="shared" si="38"/>
        <v>2281.6970000000001</v>
      </c>
      <c r="CS30">
        <f t="shared" si="39"/>
        <v>1483.509</v>
      </c>
      <c r="CT30">
        <f t="shared" si="40"/>
        <v>9184.8025199999993</v>
      </c>
      <c r="CU30">
        <f t="shared" si="41"/>
        <v>0</v>
      </c>
      <c r="CV30">
        <f t="shared" si="42"/>
        <v>44.711999999999996</v>
      </c>
      <c r="CW30">
        <f t="shared" si="43"/>
        <v>5.2875000000000005</v>
      </c>
      <c r="CX30">
        <f t="shared" si="44"/>
        <v>0</v>
      </c>
      <c r="CY30">
        <f t="shared" si="45"/>
        <v>3430.4043999999999</v>
      </c>
      <c r="CZ30">
        <f t="shared" si="46"/>
        <v>2045.654</v>
      </c>
      <c r="DE30" t="s">
        <v>63</v>
      </c>
      <c r="DF30" t="s">
        <v>63</v>
      </c>
      <c r="DG30" t="s">
        <v>64</v>
      </c>
      <c r="DI30" t="s">
        <v>64</v>
      </c>
      <c r="DJ30" t="s">
        <v>63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83</v>
      </c>
      <c r="DW30" t="s">
        <v>83</v>
      </c>
      <c r="DX30">
        <v>1</v>
      </c>
      <c r="EE30">
        <v>502286020</v>
      </c>
      <c r="EF30">
        <v>2</v>
      </c>
      <c r="EG30" t="s">
        <v>65</v>
      </c>
      <c r="EH30">
        <v>0</v>
      </c>
      <c r="EJ30">
        <v>1</v>
      </c>
      <c r="EK30">
        <v>27001</v>
      </c>
      <c r="EL30" t="s">
        <v>85</v>
      </c>
      <c r="EM30" t="s">
        <v>86</v>
      </c>
      <c r="EO30" t="s">
        <v>68</v>
      </c>
      <c r="EQ30">
        <v>0</v>
      </c>
      <c r="ER30">
        <v>3652.3</v>
      </c>
      <c r="ES30">
        <v>3140.64</v>
      </c>
      <c r="ET30">
        <v>188.57</v>
      </c>
      <c r="EU30">
        <v>48.01</v>
      </c>
      <c r="EV30">
        <v>323.08999999999997</v>
      </c>
      <c r="EW30">
        <v>38.880000000000003</v>
      </c>
      <c r="EX30">
        <v>4.2300000000000004</v>
      </c>
      <c r="EY30">
        <v>0</v>
      </c>
      <c r="FQ30">
        <v>0</v>
      </c>
      <c r="FR30">
        <f t="shared" si="47"/>
        <v>0</v>
      </c>
      <c r="FS30">
        <v>0</v>
      </c>
      <c r="FT30" t="s">
        <v>69</v>
      </c>
      <c r="FU30" t="s">
        <v>70</v>
      </c>
      <c r="FV30" t="s">
        <v>70</v>
      </c>
      <c r="FW30" t="s">
        <v>71</v>
      </c>
      <c r="FX30">
        <v>127.8</v>
      </c>
      <c r="FY30">
        <v>80.75</v>
      </c>
      <c r="GD30">
        <v>0</v>
      </c>
      <c r="GF30">
        <v>1112197757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48"/>
        <v>0</v>
      </c>
      <c r="GM30">
        <f t="shared" si="49"/>
        <v>16631.91</v>
      </c>
      <c r="GN30">
        <f t="shared" si="50"/>
        <v>16631.91</v>
      </c>
      <c r="GO30">
        <f t="shared" si="51"/>
        <v>0</v>
      </c>
      <c r="GP30">
        <f t="shared" si="52"/>
        <v>0</v>
      </c>
      <c r="GR30">
        <v>0</v>
      </c>
      <c r="GS30">
        <v>3</v>
      </c>
      <c r="GT30">
        <v>0</v>
      </c>
      <c r="GV30">
        <f t="shared" si="53"/>
        <v>0</v>
      </c>
      <c r="GW30">
        <v>1</v>
      </c>
      <c r="GX30">
        <f t="shared" si="54"/>
        <v>0</v>
      </c>
      <c r="HA30">
        <v>0</v>
      </c>
      <c r="HB30">
        <v>0</v>
      </c>
      <c r="IK30">
        <v>0</v>
      </c>
    </row>
    <row r="31" spans="1:245" x14ac:dyDescent="0.35">
      <c r="A31">
        <v>17</v>
      </c>
      <c r="B31">
        <v>1</v>
      </c>
      <c r="C31">
        <f>ROW(SmtRes!A26)</f>
        <v>26</v>
      </c>
      <c r="D31">
        <f>ROW(EtalonRes!A26)</f>
        <v>26</v>
      </c>
      <c r="E31" t="s">
        <v>87</v>
      </c>
      <c r="F31" t="s">
        <v>88</v>
      </c>
      <c r="G31" t="s">
        <v>89</v>
      </c>
      <c r="H31" t="s">
        <v>90</v>
      </c>
      <c r="I31">
        <f>ROUND((16)/100,9)</f>
        <v>0.16</v>
      </c>
      <c r="J31">
        <v>0</v>
      </c>
      <c r="O31">
        <f t="shared" si="21"/>
        <v>23674.87</v>
      </c>
      <c r="P31">
        <f t="shared" si="22"/>
        <v>9918.64</v>
      </c>
      <c r="Q31">
        <f t="shared" si="23"/>
        <v>5125.99</v>
      </c>
      <c r="R31">
        <f t="shared" si="24"/>
        <v>1502.43</v>
      </c>
      <c r="S31">
        <f t="shared" si="25"/>
        <v>8630.24</v>
      </c>
      <c r="T31">
        <f t="shared" si="26"/>
        <v>0</v>
      </c>
      <c r="U31">
        <f t="shared" si="27"/>
        <v>37.580159999999999</v>
      </c>
      <c r="V31">
        <f t="shared" si="28"/>
        <v>4.5020000000000007</v>
      </c>
      <c r="W31">
        <f t="shared" si="29"/>
        <v>0</v>
      </c>
      <c r="X31">
        <f t="shared" si="30"/>
        <v>10031.34</v>
      </c>
      <c r="Y31">
        <f t="shared" si="31"/>
        <v>5876.95</v>
      </c>
      <c r="AA31">
        <v>502564877</v>
      </c>
      <c r="AB31">
        <f t="shared" si="32"/>
        <v>14611.790999999999</v>
      </c>
      <c r="AC31">
        <f t="shared" si="33"/>
        <v>8399.93</v>
      </c>
      <c r="AD31">
        <f>ROUND(((((ET31*1.25))-((EU31*1.25)))+AE31),6)</f>
        <v>4029.8625000000002</v>
      </c>
      <c r="AE31">
        <f>ROUND(((EU31*1.25)),6)</f>
        <v>379.86250000000001</v>
      </c>
      <c r="AF31">
        <f>ROUND(((EV31*1.15)),6)</f>
        <v>2181.9985000000001</v>
      </c>
      <c r="AG31">
        <f t="shared" si="34"/>
        <v>0</v>
      </c>
      <c r="AH31">
        <f>((EW31*1.15))</f>
        <v>234.876</v>
      </c>
      <c r="AI31">
        <f>((EX31*1.25))</f>
        <v>28.137500000000003</v>
      </c>
      <c r="AJ31">
        <f t="shared" si="35"/>
        <v>0</v>
      </c>
      <c r="AK31">
        <v>13521.21</v>
      </c>
      <c r="AL31">
        <v>8399.93</v>
      </c>
      <c r="AM31">
        <v>3223.89</v>
      </c>
      <c r="AN31">
        <v>303.89</v>
      </c>
      <c r="AO31">
        <v>1897.39</v>
      </c>
      <c r="AP31">
        <v>0</v>
      </c>
      <c r="AQ31">
        <v>204.24</v>
      </c>
      <c r="AR31">
        <v>22.51</v>
      </c>
      <c r="AS31">
        <v>0</v>
      </c>
      <c r="AT31">
        <v>99</v>
      </c>
      <c r="AU31">
        <v>58</v>
      </c>
      <c r="AV31">
        <v>1</v>
      </c>
      <c r="AW31">
        <v>1</v>
      </c>
      <c r="AZ31">
        <v>1</v>
      </c>
      <c r="BA31">
        <v>24.72</v>
      </c>
      <c r="BB31">
        <v>7.95</v>
      </c>
      <c r="BC31">
        <v>7.38</v>
      </c>
      <c r="BH31">
        <v>0</v>
      </c>
      <c r="BI31">
        <v>1</v>
      </c>
      <c r="BJ31" t="s">
        <v>91</v>
      </c>
      <c r="BM31">
        <v>7002</v>
      </c>
      <c r="BN31">
        <v>0</v>
      </c>
      <c r="BO31" t="s">
        <v>88</v>
      </c>
      <c r="BP31">
        <v>1</v>
      </c>
      <c r="BQ31">
        <v>2</v>
      </c>
      <c r="BR31">
        <v>0</v>
      </c>
      <c r="BS31">
        <v>24.72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130</v>
      </c>
      <c r="CA31">
        <v>85</v>
      </c>
      <c r="CF31">
        <v>0</v>
      </c>
      <c r="CG31">
        <v>0</v>
      </c>
      <c r="CM31">
        <v>0</v>
      </c>
      <c r="CN31" t="s">
        <v>62</v>
      </c>
      <c r="CO31">
        <v>0</v>
      </c>
      <c r="CP31">
        <f t="shared" si="36"/>
        <v>23674.87</v>
      </c>
      <c r="CQ31">
        <f t="shared" si="37"/>
        <v>61991.483400000005</v>
      </c>
      <c r="CR31">
        <f t="shared" si="38"/>
        <v>32037.406875000001</v>
      </c>
      <c r="CS31">
        <f t="shared" si="39"/>
        <v>9390.2009999999991</v>
      </c>
      <c r="CT31">
        <f t="shared" si="40"/>
        <v>53939.002919999999</v>
      </c>
      <c r="CU31">
        <f t="shared" si="41"/>
        <v>0</v>
      </c>
      <c r="CV31">
        <f t="shared" si="42"/>
        <v>234.876</v>
      </c>
      <c r="CW31">
        <f t="shared" si="43"/>
        <v>28.137500000000003</v>
      </c>
      <c r="CX31">
        <f t="shared" si="44"/>
        <v>0</v>
      </c>
      <c r="CY31">
        <f t="shared" si="45"/>
        <v>10031.3433</v>
      </c>
      <c r="CZ31">
        <f t="shared" si="46"/>
        <v>5876.9485999999997</v>
      </c>
      <c r="DE31" t="s">
        <v>63</v>
      </c>
      <c r="DF31" t="s">
        <v>63</v>
      </c>
      <c r="DG31" t="s">
        <v>64</v>
      </c>
      <c r="DI31" t="s">
        <v>64</v>
      </c>
      <c r="DJ31" t="s">
        <v>63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90</v>
      </c>
      <c r="DW31" t="s">
        <v>90</v>
      </c>
      <c r="DX31">
        <v>1</v>
      </c>
      <c r="EE31">
        <v>502285970</v>
      </c>
      <c r="EF31">
        <v>2</v>
      </c>
      <c r="EG31" t="s">
        <v>65</v>
      </c>
      <c r="EH31">
        <v>0</v>
      </c>
      <c r="EJ31">
        <v>1</v>
      </c>
      <c r="EK31">
        <v>7002</v>
      </c>
      <c r="EL31" t="s">
        <v>92</v>
      </c>
      <c r="EM31" t="s">
        <v>93</v>
      </c>
      <c r="EO31" t="s">
        <v>68</v>
      </c>
      <c r="EQ31">
        <v>0</v>
      </c>
      <c r="ER31">
        <v>13521.21</v>
      </c>
      <c r="ES31">
        <v>8399.93</v>
      </c>
      <c r="ET31">
        <v>3223.89</v>
      </c>
      <c r="EU31">
        <v>303.89</v>
      </c>
      <c r="EV31">
        <v>1897.39</v>
      </c>
      <c r="EW31">
        <v>204.24</v>
      </c>
      <c r="EX31">
        <v>22.51</v>
      </c>
      <c r="EY31">
        <v>0</v>
      </c>
      <c r="FQ31">
        <v>0</v>
      </c>
      <c r="FR31">
        <f t="shared" si="47"/>
        <v>0</v>
      </c>
      <c r="FS31">
        <v>0</v>
      </c>
      <c r="FT31" t="s">
        <v>69</v>
      </c>
      <c r="FU31" t="s">
        <v>70</v>
      </c>
      <c r="FV31" t="s">
        <v>70</v>
      </c>
      <c r="FW31" t="s">
        <v>71</v>
      </c>
      <c r="FX31">
        <v>117</v>
      </c>
      <c r="FY31">
        <v>72.25</v>
      </c>
      <c r="GD31">
        <v>0</v>
      </c>
      <c r="GF31">
        <v>906297220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48"/>
        <v>0</v>
      </c>
      <c r="GM31">
        <f t="shared" si="49"/>
        <v>39583.160000000003</v>
      </c>
      <c r="GN31">
        <f t="shared" si="50"/>
        <v>39583.160000000003</v>
      </c>
      <c r="GO31">
        <f t="shared" si="51"/>
        <v>0</v>
      </c>
      <c r="GP31">
        <f t="shared" si="52"/>
        <v>0</v>
      </c>
      <c r="GR31">
        <v>0</v>
      </c>
      <c r="GS31">
        <v>3</v>
      </c>
      <c r="GT31">
        <v>0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IK31">
        <v>0</v>
      </c>
    </row>
    <row r="32" spans="1:245" x14ac:dyDescent="0.35">
      <c r="A32">
        <v>18</v>
      </c>
      <c r="B32">
        <v>1</v>
      </c>
      <c r="C32">
        <v>26</v>
      </c>
      <c r="E32" t="s">
        <v>94</v>
      </c>
      <c r="F32" t="s">
        <v>95</v>
      </c>
      <c r="G32" t="s">
        <v>96</v>
      </c>
      <c r="H32" t="s">
        <v>97</v>
      </c>
      <c r="I32">
        <f>I31*J32</f>
        <v>16</v>
      </c>
      <c r="J32">
        <v>100</v>
      </c>
      <c r="O32">
        <f t="shared" si="21"/>
        <v>119734.5</v>
      </c>
      <c r="P32">
        <f t="shared" si="22"/>
        <v>119734.5</v>
      </c>
      <c r="Q32">
        <f t="shared" si="23"/>
        <v>0</v>
      </c>
      <c r="R32">
        <f t="shared" si="24"/>
        <v>0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639.20000000000005</v>
      </c>
      <c r="X32">
        <f t="shared" si="30"/>
        <v>0</v>
      </c>
      <c r="Y32">
        <f t="shared" si="31"/>
        <v>0</v>
      </c>
      <c r="AA32">
        <v>502564877</v>
      </c>
      <c r="AB32">
        <f t="shared" si="32"/>
        <v>1358.15</v>
      </c>
      <c r="AC32">
        <f t="shared" si="33"/>
        <v>1358.15</v>
      </c>
      <c r="AD32">
        <f>ROUND((((ET32)-(EU32))+AE32),6)</f>
        <v>0</v>
      </c>
      <c r="AE32">
        <f>ROUND((EU32),6)</f>
        <v>0</v>
      </c>
      <c r="AF32">
        <f>ROUND((EV32),6)</f>
        <v>0</v>
      </c>
      <c r="AG32">
        <f t="shared" si="34"/>
        <v>0</v>
      </c>
      <c r="AH32">
        <f>(EW32)</f>
        <v>0</v>
      </c>
      <c r="AI32">
        <f>(EX32)</f>
        <v>0</v>
      </c>
      <c r="AJ32">
        <f t="shared" si="35"/>
        <v>39.950000000000003</v>
      </c>
      <c r="AK32">
        <v>1358.15</v>
      </c>
      <c r="AL32">
        <v>1358.15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39.950000000000003</v>
      </c>
      <c r="AT32">
        <v>99</v>
      </c>
      <c r="AU32">
        <v>58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5.51</v>
      </c>
      <c r="BH32">
        <v>3</v>
      </c>
      <c r="BI32">
        <v>1</v>
      </c>
      <c r="BJ32" t="s">
        <v>98</v>
      </c>
      <c r="BM32">
        <v>7002</v>
      </c>
      <c r="BN32">
        <v>0</v>
      </c>
      <c r="BO32" t="s">
        <v>95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130</v>
      </c>
      <c r="CA32">
        <v>85</v>
      </c>
      <c r="CF32">
        <v>0</v>
      </c>
      <c r="CG32">
        <v>0</v>
      </c>
      <c r="CM32">
        <v>0</v>
      </c>
      <c r="CO32">
        <v>0</v>
      </c>
      <c r="CP32">
        <f t="shared" si="36"/>
        <v>119734.5</v>
      </c>
      <c r="CQ32">
        <f t="shared" si="37"/>
        <v>7483.4065000000001</v>
      </c>
      <c r="CR32">
        <f t="shared" si="38"/>
        <v>0</v>
      </c>
      <c r="CS32">
        <f t="shared" si="39"/>
        <v>0</v>
      </c>
      <c r="CT32">
        <f t="shared" si="40"/>
        <v>0</v>
      </c>
      <c r="CU32">
        <f t="shared" si="41"/>
        <v>0</v>
      </c>
      <c r="CV32">
        <f t="shared" si="42"/>
        <v>0</v>
      </c>
      <c r="CW32">
        <f t="shared" si="43"/>
        <v>0</v>
      </c>
      <c r="CX32">
        <f t="shared" si="44"/>
        <v>39.950000000000003</v>
      </c>
      <c r="CY32">
        <f t="shared" si="45"/>
        <v>0</v>
      </c>
      <c r="CZ32">
        <f t="shared" si="46"/>
        <v>0</v>
      </c>
      <c r="DN32">
        <v>0</v>
      </c>
      <c r="DO32">
        <v>0</v>
      </c>
      <c r="DP32">
        <v>1</v>
      </c>
      <c r="DQ32">
        <v>1</v>
      </c>
      <c r="DU32">
        <v>1010</v>
      </c>
      <c r="DV32" t="s">
        <v>97</v>
      </c>
      <c r="DW32" t="s">
        <v>97</v>
      </c>
      <c r="DX32">
        <v>1</v>
      </c>
      <c r="EE32">
        <v>502285970</v>
      </c>
      <c r="EF32">
        <v>2</v>
      </c>
      <c r="EG32" t="s">
        <v>65</v>
      </c>
      <c r="EH32">
        <v>0</v>
      </c>
      <c r="EJ32">
        <v>1</v>
      </c>
      <c r="EK32">
        <v>7002</v>
      </c>
      <c r="EL32" t="s">
        <v>92</v>
      </c>
      <c r="EM32" t="s">
        <v>93</v>
      </c>
      <c r="EQ32">
        <v>0</v>
      </c>
      <c r="ER32">
        <v>1358.15</v>
      </c>
      <c r="ES32">
        <v>1358.15</v>
      </c>
      <c r="ET32">
        <v>0</v>
      </c>
      <c r="EU32">
        <v>0</v>
      </c>
      <c r="EV32">
        <v>0</v>
      </c>
      <c r="EW32">
        <v>0</v>
      </c>
      <c r="EX32">
        <v>0</v>
      </c>
      <c r="FQ32">
        <v>0</v>
      </c>
      <c r="FR32">
        <f t="shared" si="47"/>
        <v>0</v>
      </c>
      <c r="FS32">
        <v>0</v>
      </c>
      <c r="FT32" t="s">
        <v>69</v>
      </c>
      <c r="FU32" t="s">
        <v>70</v>
      </c>
      <c r="FV32" t="s">
        <v>70</v>
      </c>
      <c r="FW32" t="s">
        <v>71</v>
      </c>
      <c r="FX32">
        <v>117</v>
      </c>
      <c r="FY32">
        <v>72.25</v>
      </c>
      <c r="GD32">
        <v>0</v>
      </c>
      <c r="GF32">
        <v>-1902898408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8"/>
        <v>0</v>
      </c>
      <c r="GM32">
        <f t="shared" si="49"/>
        <v>119734.5</v>
      </c>
      <c r="GN32">
        <f t="shared" si="50"/>
        <v>119734.5</v>
      </c>
      <c r="GO32">
        <f t="shared" si="51"/>
        <v>0</v>
      </c>
      <c r="GP32">
        <f t="shared" si="52"/>
        <v>0</v>
      </c>
      <c r="GR32">
        <v>0</v>
      </c>
      <c r="GS32">
        <v>3</v>
      </c>
      <c r="GT32">
        <v>0</v>
      </c>
      <c r="GV32">
        <f t="shared" si="53"/>
        <v>0</v>
      </c>
      <c r="GW32">
        <v>1</v>
      </c>
      <c r="GX32">
        <f t="shared" si="54"/>
        <v>0</v>
      </c>
      <c r="HA32">
        <v>0</v>
      </c>
      <c r="HB32">
        <v>0</v>
      </c>
      <c r="IK32">
        <v>0</v>
      </c>
    </row>
    <row r="33" spans="1:245" x14ac:dyDescent="0.35">
      <c r="A33">
        <v>17</v>
      </c>
      <c r="B33">
        <v>1</v>
      </c>
      <c r="C33">
        <f>ROW(SmtRes!A31)</f>
        <v>31</v>
      </c>
      <c r="D33">
        <f>ROW(EtalonRes!A31)</f>
        <v>31</v>
      </c>
      <c r="E33" t="s">
        <v>99</v>
      </c>
      <c r="F33" t="s">
        <v>100</v>
      </c>
      <c r="G33" t="s">
        <v>101</v>
      </c>
      <c r="H33" t="s">
        <v>102</v>
      </c>
      <c r="I33">
        <f>ROUND((77.7)/1000,9)</f>
        <v>7.7700000000000005E-2</v>
      </c>
      <c r="J33">
        <v>0</v>
      </c>
      <c r="O33">
        <f t="shared" si="21"/>
        <v>5164.6099999999997</v>
      </c>
      <c r="P33">
        <f t="shared" si="22"/>
        <v>0</v>
      </c>
      <c r="Q33">
        <f t="shared" si="23"/>
        <v>2294.75</v>
      </c>
      <c r="R33">
        <f t="shared" si="24"/>
        <v>892.2</v>
      </c>
      <c r="S33">
        <f t="shared" si="25"/>
        <v>2869.86</v>
      </c>
      <c r="T33">
        <f t="shared" si="26"/>
        <v>0</v>
      </c>
      <c r="U33">
        <f t="shared" si="27"/>
        <v>13.970460000000001</v>
      </c>
      <c r="V33">
        <f t="shared" si="28"/>
        <v>3.5454510000000004</v>
      </c>
      <c r="W33">
        <f t="shared" si="29"/>
        <v>0</v>
      </c>
      <c r="X33">
        <f t="shared" si="30"/>
        <v>4100.6499999999996</v>
      </c>
      <c r="Y33">
        <f t="shared" si="31"/>
        <v>2445.34</v>
      </c>
      <c r="AA33">
        <v>502564877</v>
      </c>
      <c r="AB33">
        <f t="shared" si="32"/>
        <v>3872.04</v>
      </c>
      <c r="AC33">
        <f t="shared" si="33"/>
        <v>0</v>
      </c>
      <c r="AD33">
        <f>ROUND((((ET33)-(EU33))+AE33),6)</f>
        <v>2377.9</v>
      </c>
      <c r="AE33">
        <f>ROUND((EU33),6)</f>
        <v>464.51</v>
      </c>
      <c r="AF33">
        <f>ROUND((EV33),6)</f>
        <v>1494.14</v>
      </c>
      <c r="AG33">
        <f t="shared" si="34"/>
        <v>0</v>
      </c>
      <c r="AH33">
        <f>(EW33)</f>
        <v>179.8</v>
      </c>
      <c r="AI33">
        <f>(EX33)</f>
        <v>45.63</v>
      </c>
      <c r="AJ33">
        <f t="shared" si="35"/>
        <v>0</v>
      </c>
      <c r="AK33">
        <v>3872.04</v>
      </c>
      <c r="AL33">
        <v>0</v>
      </c>
      <c r="AM33">
        <v>2377.9</v>
      </c>
      <c r="AN33">
        <v>464.51</v>
      </c>
      <c r="AO33">
        <v>1494.14</v>
      </c>
      <c r="AP33">
        <v>0</v>
      </c>
      <c r="AQ33">
        <v>179.8</v>
      </c>
      <c r="AR33">
        <v>45.63</v>
      </c>
      <c r="AS33">
        <v>0</v>
      </c>
      <c r="AT33">
        <v>109</v>
      </c>
      <c r="AU33">
        <v>65</v>
      </c>
      <c r="AV33">
        <v>1</v>
      </c>
      <c r="AW33">
        <v>1</v>
      </c>
      <c r="AZ33">
        <v>1</v>
      </c>
      <c r="BA33">
        <v>24.72</v>
      </c>
      <c r="BB33">
        <v>12.42</v>
      </c>
      <c r="BC33">
        <v>1</v>
      </c>
      <c r="BH33">
        <v>0</v>
      </c>
      <c r="BI33">
        <v>1</v>
      </c>
      <c r="BJ33" t="s">
        <v>103</v>
      </c>
      <c r="BM33">
        <v>27001</v>
      </c>
      <c r="BN33">
        <v>0</v>
      </c>
      <c r="BO33" t="s">
        <v>100</v>
      </c>
      <c r="BP33">
        <v>1</v>
      </c>
      <c r="BQ33">
        <v>2</v>
      </c>
      <c r="BR33">
        <v>0</v>
      </c>
      <c r="BS33">
        <v>24.72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142</v>
      </c>
      <c r="CA33">
        <v>95</v>
      </c>
      <c r="CF33">
        <v>0</v>
      </c>
      <c r="CG33">
        <v>0</v>
      </c>
      <c r="CM33">
        <v>0</v>
      </c>
      <c r="CO33">
        <v>0</v>
      </c>
      <c r="CP33">
        <f t="shared" si="36"/>
        <v>5164.6100000000006</v>
      </c>
      <c r="CQ33">
        <f t="shared" si="37"/>
        <v>0</v>
      </c>
      <c r="CR33">
        <f t="shared" si="38"/>
        <v>29533.518</v>
      </c>
      <c r="CS33">
        <f t="shared" si="39"/>
        <v>11482.687199999998</v>
      </c>
      <c r="CT33">
        <f t="shared" si="40"/>
        <v>36935.140800000001</v>
      </c>
      <c r="CU33">
        <f t="shared" si="41"/>
        <v>0</v>
      </c>
      <c r="CV33">
        <f t="shared" si="42"/>
        <v>179.8</v>
      </c>
      <c r="CW33">
        <f t="shared" si="43"/>
        <v>45.63</v>
      </c>
      <c r="CX33">
        <f t="shared" si="44"/>
        <v>0</v>
      </c>
      <c r="CY33">
        <f t="shared" si="45"/>
        <v>4100.6454000000003</v>
      </c>
      <c r="CZ33">
        <f t="shared" si="46"/>
        <v>2445.3390000000004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102</v>
      </c>
      <c r="DW33" t="s">
        <v>102</v>
      </c>
      <c r="DX33">
        <v>100</v>
      </c>
      <c r="EE33">
        <v>502286020</v>
      </c>
      <c r="EF33">
        <v>2</v>
      </c>
      <c r="EG33" t="s">
        <v>65</v>
      </c>
      <c r="EH33">
        <v>0</v>
      </c>
      <c r="EJ33">
        <v>1</v>
      </c>
      <c r="EK33">
        <v>27001</v>
      </c>
      <c r="EL33" t="s">
        <v>85</v>
      </c>
      <c r="EM33" t="s">
        <v>86</v>
      </c>
      <c r="EQ33">
        <v>0</v>
      </c>
      <c r="ER33">
        <v>3872.04</v>
      </c>
      <c r="ES33">
        <v>0</v>
      </c>
      <c r="ET33">
        <v>2377.9</v>
      </c>
      <c r="EU33">
        <v>464.51</v>
      </c>
      <c r="EV33">
        <v>1494.14</v>
      </c>
      <c r="EW33">
        <v>179.8</v>
      </c>
      <c r="EX33">
        <v>45.63</v>
      </c>
      <c r="EY33">
        <v>0</v>
      </c>
      <c r="FQ33">
        <v>0</v>
      </c>
      <c r="FR33">
        <f t="shared" si="47"/>
        <v>0</v>
      </c>
      <c r="FS33">
        <v>0</v>
      </c>
      <c r="FT33" t="s">
        <v>69</v>
      </c>
      <c r="FU33" t="s">
        <v>70</v>
      </c>
      <c r="FV33" t="s">
        <v>70</v>
      </c>
      <c r="FW33" t="s">
        <v>71</v>
      </c>
      <c r="FX33">
        <v>127.8</v>
      </c>
      <c r="FY33">
        <v>80.75</v>
      </c>
      <c r="GD33">
        <v>0</v>
      </c>
      <c r="GF33">
        <v>-494168187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48"/>
        <v>0</v>
      </c>
      <c r="GM33">
        <f t="shared" si="49"/>
        <v>11710.6</v>
      </c>
      <c r="GN33">
        <f t="shared" si="50"/>
        <v>11710.6</v>
      </c>
      <c r="GO33">
        <f t="shared" si="51"/>
        <v>0</v>
      </c>
      <c r="GP33">
        <f t="shared" si="52"/>
        <v>0</v>
      </c>
      <c r="GR33">
        <v>0</v>
      </c>
      <c r="GS33">
        <v>3</v>
      </c>
      <c r="GT33">
        <v>0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IK33">
        <v>0</v>
      </c>
    </row>
    <row r="34" spans="1:245" x14ac:dyDescent="0.35">
      <c r="A34">
        <v>17</v>
      </c>
      <c r="B34">
        <v>1</v>
      </c>
      <c r="C34">
        <f>ROW(SmtRes!A39)</f>
        <v>39</v>
      </c>
      <c r="D34">
        <f>ROW(EtalonRes!A39)</f>
        <v>39</v>
      </c>
      <c r="E34" t="s">
        <v>104</v>
      </c>
      <c r="F34" t="s">
        <v>105</v>
      </c>
      <c r="G34" t="s">
        <v>106</v>
      </c>
      <c r="H34" t="s">
        <v>107</v>
      </c>
      <c r="I34">
        <f>ROUND((44.4)/100,9)</f>
        <v>0.44400000000000001</v>
      </c>
      <c r="J34">
        <v>0</v>
      </c>
      <c r="O34">
        <f t="shared" si="21"/>
        <v>8362.1</v>
      </c>
      <c r="P34">
        <f t="shared" si="22"/>
        <v>36.83</v>
      </c>
      <c r="Q34">
        <f t="shared" si="23"/>
        <v>6734.01</v>
      </c>
      <c r="R34">
        <f t="shared" si="24"/>
        <v>2435.64</v>
      </c>
      <c r="S34">
        <f t="shared" si="25"/>
        <v>1591.26</v>
      </c>
      <c r="T34">
        <f t="shared" si="26"/>
        <v>0</v>
      </c>
      <c r="U34">
        <f t="shared" si="27"/>
        <v>8.0266319999999993</v>
      </c>
      <c r="V34">
        <f t="shared" si="28"/>
        <v>7.7034000000000011</v>
      </c>
      <c r="W34">
        <f t="shared" si="29"/>
        <v>0</v>
      </c>
      <c r="X34">
        <f t="shared" si="30"/>
        <v>4389.32</v>
      </c>
      <c r="Y34">
        <f t="shared" si="31"/>
        <v>2617.4899999999998</v>
      </c>
      <c r="AA34">
        <v>502564877</v>
      </c>
      <c r="AB34">
        <f t="shared" si="32"/>
        <v>2889.9180000000001</v>
      </c>
      <c r="AC34">
        <f t="shared" si="33"/>
        <v>12.2</v>
      </c>
      <c r="AD34">
        <f>ROUND(((((ET34*1.25))-((EU34*1.25)))+AE34),6)</f>
        <v>2732.7375000000002</v>
      </c>
      <c r="AE34">
        <f>ROUND(((EU34*1.25)),6)</f>
        <v>221.91249999999999</v>
      </c>
      <c r="AF34">
        <f>ROUND(((EV34*1.15)),6)</f>
        <v>144.98050000000001</v>
      </c>
      <c r="AG34">
        <f t="shared" si="34"/>
        <v>0</v>
      </c>
      <c r="AH34">
        <f>((EW34*1.15))</f>
        <v>18.077999999999999</v>
      </c>
      <c r="AI34">
        <f>((EX34*1.25))</f>
        <v>17.350000000000001</v>
      </c>
      <c r="AJ34">
        <f t="shared" si="35"/>
        <v>0</v>
      </c>
      <c r="AK34">
        <v>2324.46</v>
      </c>
      <c r="AL34">
        <v>12.2</v>
      </c>
      <c r="AM34">
        <v>2186.19</v>
      </c>
      <c r="AN34">
        <v>177.53</v>
      </c>
      <c r="AO34">
        <v>126.07</v>
      </c>
      <c r="AP34">
        <v>0</v>
      </c>
      <c r="AQ34">
        <v>15.72</v>
      </c>
      <c r="AR34">
        <v>13.88</v>
      </c>
      <c r="AS34">
        <v>0</v>
      </c>
      <c r="AT34">
        <v>109</v>
      </c>
      <c r="AU34">
        <v>65</v>
      </c>
      <c r="AV34">
        <v>1</v>
      </c>
      <c r="AW34">
        <v>1</v>
      </c>
      <c r="AZ34">
        <v>1</v>
      </c>
      <c r="BA34">
        <v>24.72</v>
      </c>
      <c r="BB34">
        <v>5.55</v>
      </c>
      <c r="BC34">
        <v>6.8</v>
      </c>
      <c r="BH34">
        <v>0</v>
      </c>
      <c r="BI34">
        <v>1</v>
      </c>
      <c r="BJ34" t="s">
        <v>108</v>
      </c>
      <c r="BM34">
        <v>27001</v>
      </c>
      <c r="BN34">
        <v>0</v>
      </c>
      <c r="BO34" t="s">
        <v>105</v>
      </c>
      <c r="BP34">
        <v>1</v>
      </c>
      <c r="BQ34">
        <v>2</v>
      </c>
      <c r="BR34">
        <v>0</v>
      </c>
      <c r="BS34">
        <v>24.72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142</v>
      </c>
      <c r="CA34">
        <v>95</v>
      </c>
      <c r="CF34">
        <v>0</v>
      </c>
      <c r="CG34">
        <v>0</v>
      </c>
      <c r="CM34">
        <v>0</v>
      </c>
      <c r="CN34" t="s">
        <v>62</v>
      </c>
      <c r="CO34">
        <v>0</v>
      </c>
      <c r="CP34">
        <f t="shared" si="36"/>
        <v>8362.1</v>
      </c>
      <c r="CQ34">
        <f t="shared" si="37"/>
        <v>82.96</v>
      </c>
      <c r="CR34">
        <f t="shared" si="38"/>
        <v>15166.693125</v>
      </c>
      <c r="CS34">
        <f t="shared" si="39"/>
        <v>5485.6769999999997</v>
      </c>
      <c r="CT34">
        <f t="shared" si="40"/>
        <v>3583.9179599999998</v>
      </c>
      <c r="CU34">
        <f t="shared" si="41"/>
        <v>0</v>
      </c>
      <c r="CV34">
        <f t="shared" si="42"/>
        <v>18.077999999999999</v>
      </c>
      <c r="CW34">
        <f t="shared" si="43"/>
        <v>17.350000000000001</v>
      </c>
      <c r="CX34">
        <f t="shared" si="44"/>
        <v>0</v>
      </c>
      <c r="CY34">
        <f t="shared" si="45"/>
        <v>4389.3209999999999</v>
      </c>
      <c r="CZ34">
        <f t="shared" si="46"/>
        <v>2617.4849999999997</v>
      </c>
      <c r="DE34" t="s">
        <v>63</v>
      </c>
      <c r="DF34" t="s">
        <v>63</v>
      </c>
      <c r="DG34" t="s">
        <v>64</v>
      </c>
      <c r="DI34" t="s">
        <v>64</v>
      </c>
      <c r="DJ34" t="s">
        <v>63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107</v>
      </c>
      <c r="DW34" t="s">
        <v>107</v>
      </c>
      <c r="DX34">
        <v>1</v>
      </c>
      <c r="EE34">
        <v>502286020</v>
      </c>
      <c r="EF34">
        <v>2</v>
      </c>
      <c r="EG34" t="s">
        <v>65</v>
      </c>
      <c r="EH34">
        <v>0</v>
      </c>
      <c r="EJ34">
        <v>1</v>
      </c>
      <c r="EK34">
        <v>27001</v>
      </c>
      <c r="EL34" t="s">
        <v>85</v>
      </c>
      <c r="EM34" t="s">
        <v>86</v>
      </c>
      <c r="EO34" t="s">
        <v>68</v>
      </c>
      <c r="EQ34">
        <v>0</v>
      </c>
      <c r="ER34">
        <v>2324.46</v>
      </c>
      <c r="ES34">
        <v>12.2</v>
      </c>
      <c r="ET34">
        <v>2186.19</v>
      </c>
      <c r="EU34">
        <v>177.53</v>
      </c>
      <c r="EV34">
        <v>126.07</v>
      </c>
      <c r="EW34">
        <v>15.72</v>
      </c>
      <c r="EX34">
        <v>13.88</v>
      </c>
      <c r="EY34">
        <v>0</v>
      </c>
      <c r="FQ34">
        <v>0</v>
      </c>
      <c r="FR34">
        <f t="shared" si="47"/>
        <v>0</v>
      </c>
      <c r="FS34">
        <v>0</v>
      </c>
      <c r="FT34" t="s">
        <v>69</v>
      </c>
      <c r="FU34" t="s">
        <v>70</v>
      </c>
      <c r="FV34" t="s">
        <v>70</v>
      </c>
      <c r="FW34" t="s">
        <v>71</v>
      </c>
      <c r="FX34">
        <v>127.8</v>
      </c>
      <c r="FY34">
        <v>80.75</v>
      </c>
      <c r="GD34">
        <v>0</v>
      </c>
      <c r="GF34">
        <v>1915782475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8"/>
        <v>0</v>
      </c>
      <c r="GM34">
        <f t="shared" si="49"/>
        <v>15368.91</v>
      </c>
      <c r="GN34">
        <f t="shared" si="50"/>
        <v>15368.91</v>
      </c>
      <c r="GO34">
        <f t="shared" si="51"/>
        <v>0</v>
      </c>
      <c r="GP34">
        <f t="shared" si="52"/>
        <v>0</v>
      </c>
      <c r="GR34">
        <v>0</v>
      </c>
      <c r="GS34">
        <v>3</v>
      </c>
      <c r="GT34">
        <v>0</v>
      </c>
      <c r="GV34">
        <f t="shared" si="53"/>
        <v>0</v>
      </c>
      <c r="GW34">
        <v>1</v>
      </c>
      <c r="GX34">
        <f t="shared" si="54"/>
        <v>0</v>
      </c>
      <c r="HA34">
        <v>0</v>
      </c>
      <c r="HB34">
        <v>0</v>
      </c>
      <c r="IK34">
        <v>0</v>
      </c>
    </row>
    <row r="35" spans="1:245" x14ac:dyDescent="0.35">
      <c r="A35">
        <v>18</v>
      </c>
      <c r="B35">
        <v>1</v>
      </c>
      <c r="C35">
        <v>38</v>
      </c>
      <c r="E35" t="s">
        <v>109</v>
      </c>
      <c r="F35" t="s">
        <v>110</v>
      </c>
      <c r="G35" t="s">
        <v>111</v>
      </c>
      <c r="H35" t="s">
        <v>112</v>
      </c>
      <c r="I35">
        <f>I34*J35</f>
        <v>48.84</v>
      </c>
      <c r="J35">
        <v>110</v>
      </c>
      <c r="O35">
        <f t="shared" si="21"/>
        <v>21132.37</v>
      </c>
      <c r="P35">
        <f t="shared" si="22"/>
        <v>21132.37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1413.43</v>
      </c>
      <c r="X35">
        <f t="shared" si="30"/>
        <v>0</v>
      </c>
      <c r="Y35">
        <f t="shared" si="31"/>
        <v>0</v>
      </c>
      <c r="AA35">
        <v>502564877</v>
      </c>
      <c r="AB35">
        <f t="shared" si="32"/>
        <v>55.26</v>
      </c>
      <c r="AC35">
        <f t="shared" si="33"/>
        <v>55.26</v>
      </c>
      <c r="AD35">
        <f>ROUND((((ET35)-(EU35))+AE35),6)</f>
        <v>0</v>
      </c>
      <c r="AE35">
        <f>ROUND((EU35),6)</f>
        <v>0</v>
      </c>
      <c r="AF35">
        <f>ROUND((EV35),6)</f>
        <v>0</v>
      </c>
      <c r="AG35">
        <f t="shared" si="34"/>
        <v>0</v>
      </c>
      <c r="AH35">
        <f>(EW35)</f>
        <v>0</v>
      </c>
      <c r="AI35">
        <f>(EX35)</f>
        <v>0</v>
      </c>
      <c r="AJ35">
        <f t="shared" si="35"/>
        <v>28.94</v>
      </c>
      <c r="AK35">
        <v>55.26</v>
      </c>
      <c r="AL35">
        <v>55.26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28.94</v>
      </c>
      <c r="AT35">
        <v>109</v>
      </c>
      <c r="AU35">
        <v>65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7.83</v>
      </c>
      <c r="BH35">
        <v>3</v>
      </c>
      <c r="BI35">
        <v>1</v>
      </c>
      <c r="BJ35" t="s">
        <v>113</v>
      </c>
      <c r="BM35">
        <v>27001</v>
      </c>
      <c r="BN35">
        <v>0</v>
      </c>
      <c r="BO35" t="s">
        <v>110</v>
      </c>
      <c r="BP35">
        <v>1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142</v>
      </c>
      <c r="CA35">
        <v>95</v>
      </c>
      <c r="CF35">
        <v>0</v>
      </c>
      <c r="CG35">
        <v>0</v>
      </c>
      <c r="CM35">
        <v>0</v>
      </c>
      <c r="CO35">
        <v>0</v>
      </c>
      <c r="CP35">
        <f t="shared" si="36"/>
        <v>21132.37</v>
      </c>
      <c r="CQ35">
        <f t="shared" si="37"/>
        <v>432.68579999999997</v>
      </c>
      <c r="CR35">
        <f t="shared" si="38"/>
        <v>0</v>
      </c>
      <c r="CS35">
        <f t="shared" si="39"/>
        <v>0</v>
      </c>
      <c r="CT35">
        <f t="shared" si="40"/>
        <v>0</v>
      </c>
      <c r="CU35">
        <f t="shared" si="41"/>
        <v>0</v>
      </c>
      <c r="CV35">
        <f t="shared" si="42"/>
        <v>0</v>
      </c>
      <c r="CW35">
        <f t="shared" si="43"/>
        <v>0</v>
      </c>
      <c r="CX35">
        <f t="shared" si="44"/>
        <v>28.94</v>
      </c>
      <c r="CY35">
        <f t="shared" si="45"/>
        <v>0</v>
      </c>
      <c r="CZ35">
        <f t="shared" si="46"/>
        <v>0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112</v>
      </c>
      <c r="DW35" t="s">
        <v>112</v>
      </c>
      <c r="DX35">
        <v>1</v>
      </c>
      <c r="EE35">
        <v>502286020</v>
      </c>
      <c r="EF35">
        <v>2</v>
      </c>
      <c r="EG35" t="s">
        <v>65</v>
      </c>
      <c r="EH35">
        <v>0</v>
      </c>
      <c r="EJ35">
        <v>1</v>
      </c>
      <c r="EK35">
        <v>27001</v>
      </c>
      <c r="EL35" t="s">
        <v>85</v>
      </c>
      <c r="EM35" t="s">
        <v>86</v>
      </c>
      <c r="EQ35">
        <v>0</v>
      </c>
      <c r="ER35">
        <v>55.26</v>
      </c>
      <c r="ES35">
        <v>55.26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7"/>
        <v>0</v>
      </c>
      <c r="FS35">
        <v>0</v>
      </c>
      <c r="FT35" t="s">
        <v>69</v>
      </c>
      <c r="FU35" t="s">
        <v>70</v>
      </c>
      <c r="FV35" t="s">
        <v>70</v>
      </c>
      <c r="FW35" t="s">
        <v>71</v>
      </c>
      <c r="FX35">
        <v>127.8</v>
      </c>
      <c r="FY35">
        <v>80.75</v>
      </c>
      <c r="GD35">
        <v>0</v>
      </c>
      <c r="GF35">
        <v>-1147251145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48"/>
        <v>0</v>
      </c>
      <c r="GM35">
        <f t="shared" si="49"/>
        <v>21132.37</v>
      </c>
      <c r="GN35">
        <f t="shared" si="50"/>
        <v>21132.37</v>
      </c>
      <c r="GO35">
        <f t="shared" si="51"/>
        <v>0</v>
      </c>
      <c r="GP35">
        <f t="shared" si="52"/>
        <v>0</v>
      </c>
      <c r="GR35">
        <v>0</v>
      </c>
      <c r="GS35">
        <v>3</v>
      </c>
      <c r="GT35">
        <v>0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IK35">
        <v>0</v>
      </c>
    </row>
    <row r="36" spans="1:245" x14ac:dyDescent="0.35">
      <c r="A36">
        <v>17</v>
      </c>
      <c r="B36">
        <v>1</v>
      </c>
      <c r="C36">
        <f>ROW(SmtRes!A48)</f>
        <v>48</v>
      </c>
      <c r="D36">
        <f>ROW(EtalonRes!A48)</f>
        <v>48</v>
      </c>
      <c r="E36" t="s">
        <v>114</v>
      </c>
      <c r="F36" t="s">
        <v>115</v>
      </c>
      <c r="G36" t="s">
        <v>116</v>
      </c>
      <c r="H36" t="s">
        <v>107</v>
      </c>
      <c r="I36">
        <f>ROUND((33.3)/100,9)</f>
        <v>0.33300000000000002</v>
      </c>
      <c r="J36">
        <v>0</v>
      </c>
      <c r="O36">
        <f t="shared" si="21"/>
        <v>9680.5499999999993</v>
      </c>
      <c r="P36">
        <f t="shared" si="22"/>
        <v>38.68</v>
      </c>
      <c r="Q36">
        <f t="shared" si="23"/>
        <v>7789.27</v>
      </c>
      <c r="R36">
        <f t="shared" si="24"/>
        <v>2867.95</v>
      </c>
      <c r="S36">
        <f t="shared" si="25"/>
        <v>1852.6</v>
      </c>
      <c r="T36">
        <f t="shared" si="26"/>
        <v>0</v>
      </c>
      <c r="U36">
        <f t="shared" si="27"/>
        <v>9.2635605000000005</v>
      </c>
      <c r="V36">
        <f t="shared" si="28"/>
        <v>8.5747499999999999</v>
      </c>
      <c r="W36">
        <f t="shared" si="29"/>
        <v>0</v>
      </c>
      <c r="X36">
        <f t="shared" si="30"/>
        <v>5145.3999999999996</v>
      </c>
      <c r="Y36">
        <f t="shared" si="31"/>
        <v>3068.36</v>
      </c>
      <c r="AA36">
        <v>502564877</v>
      </c>
      <c r="AB36">
        <f t="shared" si="32"/>
        <v>4449.1850000000004</v>
      </c>
      <c r="AC36">
        <f t="shared" si="33"/>
        <v>17.079999999999998</v>
      </c>
      <c r="AD36">
        <f>ROUND(((((ET36*1.25))-((EU36*1.25)))+AE36),6)</f>
        <v>4207.05</v>
      </c>
      <c r="AE36">
        <f>ROUND(((EU36*1.25)),6)</f>
        <v>348.4</v>
      </c>
      <c r="AF36">
        <f>ROUND(((EV36*1.15)),6)</f>
        <v>225.05500000000001</v>
      </c>
      <c r="AG36">
        <f t="shared" si="34"/>
        <v>0</v>
      </c>
      <c r="AH36">
        <f>((EW36*1.15))</f>
        <v>27.8185</v>
      </c>
      <c r="AI36">
        <f>((EX36*1.25))</f>
        <v>25.75</v>
      </c>
      <c r="AJ36">
        <f t="shared" si="35"/>
        <v>0</v>
      </c>
      <c r="AK36">
        <v>3578.42</v>
      </c>
      <c r="AL36">
        <v>17.079999999999998</v>
      </c>
      <c r="AM36">
        <v>3365.64</v>
      </c>
      <c r="AN36">
        <v>278.72000000000003</v>
      </c>
      <c r="AO36">
        <v>195.7</v>
      </c>
      <c r="AP36">
        <v>0</v>
      </c>
      <c r="AQ36">
        <v>24.19</v>
      </c>
      <c r="AR36">
        <v>20.6</v>
      </c>
      <c r="AS36">
        <v>0</v>
      </c>
      <c r="AT36">
        <v>109</v>
      </c>
      <c r="AU36">
        <v>65</v>
      </c>
      <c r="AV36">
        <v>1</v>
      </c>
      <c r="AW36">
        <v>1</v>
      </c>
      <c r="AZ36">
        <v>1</v>
      </c>
      <c r="BA36">
        <v>24.72</v>
      </c>
      <c r="BB36">
        <v>5.56</v>
      </c>
      <c r="BC36">
        <v>6.8</v>
      </c>
      <c r="BH36">
        <v>0</v>
      </c>
      <c r="BI36">
        <v>1</v>
      </c>
      <c r="BJ36" t="s">
        <v>117</v>
      </c>
      <c r="BM36">
        <v>27001</v>
      </c>
      <c r="BN36">
        <v>0</v>
      </c>
      <c r="BO36" t="s">
        <v>115</v>
      </c>
      <c r="BP36">
        <v>1</v>
      </c>
      <c r="BQ36">
        <v>2</v>
      </c>
      <c r="BR36">
        <v>0</v>
      </c>
      <c r="BS36">
        <v>24.72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142</v>
      </c>
      <c r="CA36">
        <v>95</v>
      </c>
      <c r="CF36">
        <v>0</v>
      </c>
      <c r="CG36">
        <v>0</v>
      </c>
      <c r="CM36">
        <v>0</v>
      </c>
      <c r="CN36" t="s">
        <v>62</v>
      </c>
      <c r="CO36">
        <v>0</v>
      </c>
      <c r="CP36">
        <f t="shared" si="36"/>
        <v>9680.5500000000011</v>
      </c>
      <c r="CQ36">
        <f t="shared" si="37"/>
        <v>116.14399999999999</v>
      </c>
      <c r="CR36">
        <f t="shared" si="38"/>
        <v>23391.198</v>
      </c>
      <c r="CS36">
        <f t="shared" si="39"/>
        <v>8612.4479999999985</v>
      </c>
      <c r="CT36">
        <f t="shared" si="40"/>
        <v>5563.3595999999998</v>
      </c>
      <c r="CU36">
        <f t="shared" si="41"/>
        <v>0</v>
      </c>
      <c r="CV36">
        <f t="shared" si="42"/>
        <v>27.8185</v>
      </c>
      <c r="CW36">
        <f t="shared" si="43"/>
        <v>25.75</v>
      </c>
      <c r="CX36">
        <f t="shared" si="44"/>
        <v>0</v>
      </c>
      <c r="CY36">
        <f t="shared" si="45"/>
        <v>5145.3994999999986</v>
      </c>
      <c r="CZ36">
        <f t="shared" si="46"/>
        <v>3068.3574999999996</v>
      </c>
      <c r="DE36" t="s">
        <v>63</v>
      </c>
      <c r="DF36" t="s">
        <v>63</v>
      </c>
      <c r="DG36" t="s">
        <v>64</v>
      </c>
      <c r="DI36" t="s">
        <v>64</v>
      </c>
      <c r="DJ36" t="s">
        <v>63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107</v>
      </c>
      <c r="DW36" t="s">
        <v>107</v>
      </c>
      <c r="DX36">
        <v>1</v>
      </c>
      <c r="EE36">
        <v>502286020</v>
      </c>
      <c r="EF36">
        <v>2</v>
      </c>
      <c r="EG36" t="s">
        <v>65</v>
      </c>
      <c r="EH36">
        <v>0</v>
      </c>
      <c r="EJ36">
        <v>1</v>
      </c>
      <c r="EK36">
        <v>27001</v>
      </c>
      <c r="EL36" t="s">
        <v>85</v>
      </c>
      <c r="EM36" t="s">
        <v>86</v>
      </c>
      <c r="EO36" t="s">
        <v>68</v>
      </c>
      <c r="EQ36">
        <v>0</v>
      </c>
      <c r="ER36">
        <v>3578.42</v>
      </c>
      <c r="ES36">
        <v>17.079999999999998</v>
      </c>
      <c r="ET36">
        <v>3365.64</v>
      </c>
      <c r="EU36">
        <v>278.72000000000003</v>
      </c>
      <c r="EV36">
        <v>195.7</v>
      </c>
      <c r="EW36">
        <v>24.19</v>
      </c>
      <c r="EX36">
        <v>20.6</v>
      </c>
      <c r="EY36">
        <v>0</v>
      </c>
      <c r="FQ36">
        <v>0</v>
      </c>
      <c r="FR36">
        <f t="shared" si="47"/>
        <v>0</v>
      </c>
      <c r="FS36">
        <v>0</v>
      </c>
      <c r="FT36" t="s">
        <v>69</v>
      </c>
      <c r="FU36" t="s">
        <v>70</v>
      </c>
      <c r="FV36" t="s">
        <v>70</v>
      </c>
      <c r="FW36" t="s">
        <v>71</v>
      </c>
      <c r="FX36">
        <v>127.8</v>
      </c>
      <c r="FY36">
        <v>80.75</v>
      </c>
      <c r="GD36">
        <v>0</v>
      </c>
      <c r="GF36">
        <v>-1270790807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48"/>
        <v>0</v>
      </c>
      <c r="GM36">
        <f t="shared" si="49"/>
        <v>17894.310000000001</v>
      </c>
      <c r="GN36">
        <f t="shared" si="50"/>
        <v>17894.310000000001</v>
      </c>
      <c r="GO36">
        <f t="shared" si="51"/>
        <v>0</v>
      </c>
      <c r="GP36">
        <f t="shared" si="52"/>
        <v>0</v>
      </c>
      <c r="GR36">
        <v>0</v>
      </c>
      <c r="GS36">
        <v>3</v>
      </c>
      <c r="GT36">
        <v>0</v>
      </c>
      <c r="GV36">
        <f t="shared" si="53"/>
        <v>0</v>
      </c>
      <c r="GW36">
        <v>1</v>
      </c>
      <c r="GX36">
        <f t="shared" si="54"/>
        <v>0</v>
      </c>
      <c r="HA36">
        <v>0</v>
      </c>
      <c r="HB36">
        <v>0</v>
      </c>
      <c r="IK36">
        <v>0</v>
      </c>
    </row>
    <row r="37" spans="1:245" x14ac:dyDescent="0.35">
      <c r="A37">
        <v>18</v>
      </c>
      <c r="B37">
        <v>1</v>
      </c>
      <c r="C37">
        <v>47</v>
      </c>
      <c r="E37" t="s">
        <v>118</v>
      </c>
      <c r="F37" t="s">
        <v>119</v>
      </c>
      <c r="G37" t="s">
        <v>120</v>
      </c>
      <c r="H37" t="s">
        <v>112</v>
      </c>
      <c r="I37">
        <f>I36*J37</f>
        <v>41.958000000000006</v>
      </c>
      <c r="J37">
        <v>126</v>
      </c>
      <c r="O37">
        <f t="shared" si="21"/>
        <v>56927.94</v>
      </c>
      <c r="P37">
        <f t="shared" si="22"/>
        <v>56927.94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1294.82</v>
      </c>
      <c r="X37">
        <f t="shared" si="30"/>
        <v>0</v>
      </c>
      <c r="Y37">
        <f t="shared" si="31"/>
        <v>0</v>
      </c>
      <c r="AA37">
        <v>502564877</v>
      </c>
      <c r="AB37">
        <f t="shared" si="32"/>
        <v>118.6</v>
      </c>
      <c r="AC37">
        <f t="shared" si="33"/>
        <v>118.6</v>
      </c>
      <c r="AD37">
        <f>ROUND((((ET37)-(EU37))+AE37),6)</f>
        <v>0</v>
      </c>
      <c r="AE37">
        <f>ROUND((EU37),6)</f>
        <v>0</v>
      </c>
      <c r="AF37">
        <f>ROUND((EV37),6)</f>
        <v>0</v>
      </c>
      <c r="AG37">
        <f t="shared" si="34"/>
        <v>0</v>
      </c>
      <c r="AH37">
        <f>(EW37)</f>
        <v>0</v>
      </c>
      <c r="AI37">
        <f>(EX37)</f>
        <v>0</v>
      </c>
      <c r="AJ37">
        <f t="shared" si="35"/>
        <v>30.86</v>
      </c>
      <c r="AK37">
        <v>118.6</v>
      </c>
      <c r="AL37">
        <v>118.6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30.86</v>
      </c>
      <c r="AT37">
        <v>109</v>
      </c>
      <c r="AU37">
        <v>65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11.44</v>
      </c>
      <c r="BH37">
        <v>3</v>
      </c>
      <c r="BI37">
        <v>1</v>
      </c>
      <c r="BJ37" t="s">
        <v>121</v>
      </c>
      <c r="BM37">
        <v>27001</v>
      </c>
      <c r="BN37">
        <v>0</v>
      </c>
      <c r="BO37" t="s">
        <v>119</v>
      </c>
      <c r="BP37">
        <v>1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142</v>
      </c>
      <c r="CA37">
        <v>95</v>
      </c>
      <c r="CF37">
        <v>0</v>
      </c>
      <c r="CG37">
        <v>0</v>
      </c>
      <c r="CM37">
        <v>0</v>
      </c>
      <c r="CO37">
        <v>0</v>
      </c>
      <c r="CP37">
        <f t="shared" si="36"/>
        <v>56927.94</v>
      </c>
      <c r="CQ37">
        <f t="shared" si="37"/>
        <v>1356.7839999999999</v>
      </c>
      <c r="CR37">
        <f t="shared" si="38"/>
        <v>0</v>
      </c>
      <c r="CS37">
        <f t="shared" si="39"/>
        <v>0</v>
      </c>
      <c r="CT37">
        <f t="shared" si="40"/>
        <v>0</v>
      </c>
      <c r="CU37">
        <f t="shared" si="41"/>
        <v>0</v>
      </c>
      <c r="CV37">
        <f t="shared" si="42"/>
        <v>0</v>
      </c>
      <c r="CW37">
        <f t="shared" si="43"/>
        <v>0</v>
      </c>
      <c r="CX37">
        <f t="shared" si="44"/>
        <v>30.86</v>
      </c>
      <c r="CY37">
        <f t="shared" si="45"/>
        <v>0</v>
      </c>
      <c r="CZ37">
        <f t="shared" si="46"/>
        <v>0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112</v>
      </c>
      <c r="DW37" t="s">
        <v>112</v>
      </c>
      <c r="DX37">
        <v>1</v>
      </c>
      <c r="EE37">
        <v>502286020</v>
      </c>
      <c r="EF37">
        <v>2</v>
      </c>
      <c r="EG37" t="s">
        <v>65</v>
      </c>
      <c r="EH37">
        <v>0</v>
      </c>
      <c r="EJ37">
        <v>1</v>
      </c>
      <c r="EK37">
        <v>27001</v>
      </c>
      <c r="EL37" t="s">
        <v>85</v>
      </c>
      <c r="EM37" t="s">
        <v>86</v>
      </c>
      <c r="EQ37">
        <v>0</v>
      </c>
      <c r="ER37">
        <v>118.6</v>
      </c>
      <c r="ES37">
        <v>118.6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7"/>
        <v>0</v>
      </c>
      <c r="FS37">
        <v>0</v>
      </c>
      <c r="FT37" t="s">
        <v>69</v>
      </c>
      <c r="FU37" t="s">
        <v>70</v>
      </c>
      <c r="FV37" t="s">
        <v>70</v>
      </c>
      <c r="FW37" t="s">
        <v>71</v>
      </c>
      <c r="FX37">
        <v>127.8</v>
      </c>
      <c r="FY37">
        <v>80.75</v>
      </c>
      <c r="GD37">
        <v>0</v>
      </c>
      <c r="GF37">
        <v>214605657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8"/>
        <v>0</v>
      </c>
      <c r="GM37">
        <f t="shared" si="49"/>
        <v>56927.94</v>
      </c>
      <c r="GN37">
        <f t="shared" si="50"/>
        <v>56927.94</v>
      </c>
      <c r="GO37">
        <f t="shared" si="51"/>
        <v>0</v>
      </c>
      <c r="GP37">
        <f t="shared" si="52"/>
        <v>0</v>
      </c>
      <c r="GR37">
        <v>0</v>
      </c>
      <c r="GS37">
        <v>3</v>
      </c>
      <c r="GT37">
        <v>0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IK37">
        <v>0</v>
      </c>
    </row>
    <row r="38" spans="1:245" x14ac:dyDescent="0.35">
      <c r="A38">
        <v>17</v>
      </c>
      <c r="B38">
        <v>1</v>
      </c>
      <c r="C38">
        <f>ROW(SmtRes!A53)</f>
        <v>53</v>
      </c>
      <c r="D38">
        <f>ROW(EtalonRes!A53)</f>
        <v>53</v>
      </c>
      <c r="E38" t="s">
        <v>122</v>
      </c>
      <c r="F38" t="s">
        <v>100</v>
      </c>
      <c r="G38" t="s">
        <v>101</v>
      </c>
      <c r="H38" t="s">
        <v>102</v>
      </c>
      <c r="I38">
        <f>ROUND((176.3)/100,9)</f>
        <v>1.7629999999999999</v>
      </c>
      <c r="J38">
        <v>0</v>
      </c>
      <c r="O38">
        <f t="shared" si="21"/>
        <v>117184.24</v>
      </c>
      <c r="P38">
        <f t="shared" si="22"/>
        <v>0</v>
      </c>
      <c r="Q38">
        <f t="shared" si="23"/>
        <v>52067.59</v>
      </c>
      <c r="R38">
        <f t="shared" si="24"/>
        <v>20243.98</v>
      </c>
      <c r="S38">
        <f t="shared" si="25"/>
        <v>65116.65</v>
      </c>
      <c r="T38">
        <f t="shared" si="26"/>
        <v>0</v>
      </c>
      <c r="U38">
        <f t="shared" si="27"/>
        <v>316.98739999999998</v>
      </c>
      <c r="V38">
        <f t="shared" si="28"/>
        <v>80.445689999999999</v>
      </c>
      <c r="W38">
        <f t="shared" si="29"/>
        <v>0</v>
      </c>
      <c r="X38">
        <f t="shared" si="30"/>
        <v>93043.09</v>
      </c>
      <c r="Y38">
        <f t="shared" si="31"/>
        <v>55484.41</v>
      </c>
      <c r="AA38">
        <v>502564877</v>
      </c>
      <c r="AB38">
        <f t="shared" si="32"/>
        <v>3872.04</v>
      </c>
      <c r="AC38">
        <f t="shared" si="33"/>
        <v>0</v>
      </c>
      <c r="AD38">
        <f>ROUND((((ET38)-(EU38))+AE38),6)</f>
        <v>2377.9</v>
      </c>
      <c r="AE38">
        <f>ROUND((EU38),6)</f>
        <v>464.51</v>
      </c>
      <c r="AF38">
        <f>ROUND((EV38),6)</f>
        <v>1494.14</v>
      </c>
      <c r="AG38">
        <f t="shared" si="34"/>
        <v>0</v>
      </c>
      <c r="AH38">
        <f>(EW38)</f>
        <v>179.8</v>
      </c>
      <c r="AI38">
        <f>(EX38)</f>
        <v>45.63</v>
      </c>
      <c r="AJ38">
        <f t="shared" si="35"/>
        <v>0</v>
      </c>
      <c r="AK38">
        <v>3872.04</v>
      </c>
      <c r="AL38">
        <v>0</v>
      </c>
      <c r="AM38">
        <v>2377.9</v>
      </c>
      <c r="AN38">
        <v>464.51</v>
      </c>
      <c r="AO38">
        <v>1494.14</v>
      </c>
      <c r="AP38">
        <v>0</v>
      </c>
      <c r="AQ38">
        <v>179.8</v>
      </c>
      <c r="AR38">
        <v>45.63</v>
      </c>
      <c r="AS38">
        <v>0</v>
      </c>
      <c r="AT38">
        <v>109</v>
      </c>
      <c r="AU38">
        <v>65</v>
      </c>
      <c r="AV38">
        <v>1</v>
      </c>
      <c r="AW38">
        <v>1</v>
      </c>
      <c r="AZ38">
        <v>1</v>
      </c>
      <c r="BA38">
        <v>24.72</v>
      </c>
      <c r="BB38">
        <v>12.42</v>
      </c>
      <c r="BC38">
        <v>1</v>
      </c>
      <c r="BH38">
        <v>0</v>
      </c>
      <c r="BI38">
        <v>1</v>
      </c>
      <c r="BJ38" t="s">
        <v>103</v>
      </c>
      <c r="BM38">
        <v>27001</v>
      </c>
      <c r="BN38">
        <v>0</v>
      </c>
      <c r="BO38" t="s">
        <v>100</v>
      </c>
      <c r="BP38">
        <v>1</v>
      </c>
      <c r="BQ38">
        <v>2</v>
      </c>
      <c r="BR38">
        <v>0</v>
      </c>
      <c r="BS38">
        <v>24.72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142</v>
      </c>
      <c r="CA38">
        <v>95</v>
      </c>
      <c r="CF38">
        <v>0</v>
      </c>
      <c r="CG38">
        <v>0</v>
      </c>
      <c r="CM38">
        <v>0</v>
      </c>
      <c r="CO38">
        <v>0</v>
      </c>
      <c r="CP38">
        <f t="shared" si="36"/>
        <v>117184.23999999999</v>
      </c>
      <c r="CQ38">
        <f t="shared" si="37"/>
        <v>0</v>
      </c>
      <c r="CR38">
        <f t="shared" si="38"/>
        <v>29533.518</v>
      </c>
      <c r="CS38">
        <f t="shared" si="39"/>
        <v>11482.687199999998</v>
      </c>
      <c r="CT38">
        <f t="shared" si="40"/>
        <v>36935.140800000001</v>
      </c>
      <c r="CU38">
        <f t="shared" si="41"/>
        <v>0</v>
      </c>
      <c r="CV38">
        <f t="shared" si="42"/>
        <v>179.8</v>
      </c>
      <c r="CW38">
        <f t="shared" si="43"/>
        <v>45.63</v>
      </c>
      <c r="CX38">
        <f t="shared" si="44"/>
        <v>0</v>
      </c>
      <c r="CY38">
        <f t="shared" si="45"/>
        <v>93043.0867</v>
      </c>
      <c r="CZ38">
        <f t="shared" si="46"/>
        <v>55484.409500000002</v>
      </c>
      <c r="DN38">
        <v>0</v>
      </c>
      <c r="DO38">
        <v>0</v>
      </c>
      <c r="DP38">
        <v>1</v>
      </c>
      <c r="DQ38">
        <v>1</v>
      </c>
      <c r="DU38">
        <v>1007</v>
      </c>
      <c r="DV38" t="s">
        <v>102</v>
      </c>
      <c r="DW38" t="s">
        <v>102</v>
      </c>
      <c r="DX38">
        <v>100</v>
      </c>
      <c r="EE38">
        <v>502286020</v>
      </c>
      <c r="EF38">
        <v>2</v>
      </c>
      <c r="EG38" t="s">
        <v>65</v>
      </c>
      <c r="EH38">
        <v>0</v>
      </c>
      <c r="EJ38">
        <v>1</v>
      </c>
      <c r="EK38">
        <v>27001</v>
      </c>
      <c r="EL38" t="s">
        <v>85</v>
      </c>
      <c r="EM38" t="s">
        <v>86</v>
      </c>
      <c r="EQ38">
        <v>0</v>
      </c>
      <c r="ER38">
        <v>3872.04</v>
      </c>
      <c r="ES38">
        <v>0</v>
      </c>
      <c r="ET38">
        <v>2377.9</v>
      </c>
      <c r="EU38">
        <v>464.51</v>
      </c>
      <c r="EV38">
        <v>1494.14</v>
      </c>
      <c r="EW38">
        <v>179.8</v>
      </c>
      <c r="EX38">
        <v>45.63</v>
      </c>
      <c r="EY38">
        <v>0</v>
      </c>
      <c r="FQ38">
        <v>0</v>
      </c>
      <c r="FR38">
        <f t="shared" si="47"/>
        <v>0</v>
      </c>
      <c r="FS38">
        <v>0</v>
      </c>
      <c r="FT38" t="s">
        <v>69</v>
      </c>
      <c r="FU38" t="s">
        <v>70</v>
      </c>
      <c r="FV38" t="s">
        <v>70</v>
      </c>
      <c r="FW38" t="s">
        <v>71</v>
      </c>
      <c r="FX38">
        <v>127.8</v>
      </c>
      <c r="FY38">
        <v>80.75</v>
      </c>
      <c r="GD38">
        <v>0</v>
      </c>
      <c r="GF38">
        <v>-494168187</v>
      </c>
      <c r="GG38">
        <v>2</v>
      </c>
      <c r="GH38">
        <v>1</v>
      </c>
      <c r="GI38">
        <v>2</v>
      </c>
      <c r="GJ38">
        <v>0</v>
      </c>
      <c r="GK38">
        <f>ROUND(R38*(R12)/100,2)</f>
        <v>0</v>
      </c>
      <c r="GL38">
        <f t="shared" si="48"/>
        <v>0</v>
      </c>
      <c r="GM38">
        <f t="shared" si="49"/>
        <v>265711.74</v>
      </c>
      <c r="GN38">
        <f t="shared" si="50"/>
        <v>265711.74</v>
      </c>
      <c r="GO38">
        <f t="shared" si="51"/>
        <v>0</v>
      </c>
      <c r="GP38">
        <f t="shared" si="52"/>
        <v>0</v>
      </c>
      <c r="GR38">
        <v>0</v>
      </c>
      <c r="GS38">
        <v>3</v>
      </c>
      <c r="GT38">
        <v>0</v>
      </c>
      <c r="GV38">
        <f t="shared" si="53"/>
        <v>0</v>
      </c>
      <c r="GW38">
        <v>1</v>
      </c>
      <c r="GX38">
        <f t="shared" si="54"/>
        <v>0</v>
      </c>
      <c r="HA38">
        <v>0</v>
      </c>
      <c r="HB38">
        <v>0</v>
      </c>
      <c r="IK38">
        <v>0</v>
      </c>
    </row>
    <row r="39" spans="1:245" x14ac:dyDescent="0.35">
      <c r="A39">
        <v>17</v>
      </c>
      <c r="B39">
        <v>1</v>
      </c>
      <c r="C39">
        <f>ROW(SmtRes!A61)</f>
        <v>61</v>
      </c>
      <c r="D39">
        <f>ROW(EtalonRes!A61)</f>
        <v>61</v>
      </c>
      <c r="E39" t="s">
        <v>123</v>
      </c>
      <c r="F39" t="s">
        <v>105</v>
      </c>
      <c r="G39" t="s">
        <v>106</v>
      </c>
      <c r="H39" t="s">
        <v>107</v>
      </c>
      <c r="I39">
        <f>ROUND((67.8)/100,9)</f>
        <v>0.67800000000000005</v>
      </c>
      <c r="J39">
        <v>0</v>
      </c>
      <c r="O39">
        <f t="shared" si="21"/>
        <v>12769.17</v>
      </c>
      <c r="P39">
        <f t="shared" si="22"/>
        <v>56.25</v>
      </c>
      <c r="Q39">
        <f t="shared" si="23"/>
        <v>10283.02</v>
      </c>
      <c r="R39">
        <f t="shared" si="24"/>
        <v>3719.29</v>
      </c>
      <c r="S39">
        <f t="shared" si="25"/>
        <v>2429.9</v>
      </c>
      <c r="T39">
        <f t="shared" si="26"/>
        <v>0</v>
      </c>
      <c r="U39">
        <f t="shared" si="27"/>
        <v>12.256884000000001</v>
      </c>
      <c r="V39">
        <f t="shared" si="28"/>
        <v>11.763300000000001</v>
      </c>
      <c r="W39">
        <f t="shared" si="29"/>
        <v>0</v>
      </c>
      <c r="X39">
        <f t="shared" si="30"/>
        <v>6702.62</v>
      </c>
      <c r="Y39">
        <f t="shared" si="31"/>
        <v>3996.97</v>
      </c>
      <c r="AA39">
        <v>502564877</v>
      </c>
      <c r="AB39">
        <f t="shared" si="32"/>
        <v>2889.9180000000001</v>
      </c>
      <c r="AC39">
        <f t="shared" si="33"/>
        <v>12.2</v>
      </c>
      <c r="AD39">
        <f>ROUND(((((ET39*1.25))-((EU39*1.25)))+AE39),6)</f>
        <v>2732.7375000000002</v>
      </c>
      <c r="AE39">
        <f>ROUND(((EU39*1.25)),6)</f>
        <v>221.91249999999999</v>
      </c>
      <c r="AF39">
        <f>ROUND(((EV39*1.15)),6)</f>
        <v>144.98050000000001</v>
      </c>
      <c r="AG39">
        <f t="shared" si="34"/>
        <v>0</v>
      </c>
      <c r="AH39">
        <f>((EW39*1.15))</f>
        <v>18.077999999999999</v>
      </c>
      <c r="AI39">
        <f>((EX39*1.25))</f>
        <v>17.350000000000001</v>
      </c>
      <c r="AJ39">
        <f t="shared" si="35"/>
        <v>0</v>
      </c>
      <c r="AK39">
        <v>2324.46</v>
      </c>
      <c r="AL39">
        <v>12.2</v>
      </c>
      <c r="AM39">
        <v>2186.19</v>
      </c>
      <c r="AN39">
        <v>177.53</v>
      </c>
      <c r="AO39">
        <v>126.07</v>
      </c>
      <c r="AP39">
        <v>0</v>
      </c>
      <c r="AQ39">
        <v>15.72</v>
      </c>
      <c r="AR39">
        <v>13.88</v>
      </c>
      <c r="AS39">
        <v>0</v>
      </c>
      <c r="AT39">
        <v>109</v>
      </c>
      <c r="AU39">
        <v>65</v>
      </c>
      <c r="AV39">
        <v>1</v>
      </c>
      <c r="AW39">
        <v>1</v>
      </c>
      <c r="AZ39">
        <v>1</v>
      </c>
      <c r="BA39">
        <v>24.72</v>
      </c>
      <c r="BB39">
        <v>5.55</v>
      </c>
      <c r="BC39">
        <v>6.8</v>
      </c>
      <c r="BH39">
        <v>0</v>
      </c>
      <c r="BI39">
        <v>1</v>
      </c>
      <c r="BJ39" t="s">
        <v>108</v>
      </c>
      <c r="BM39">
        <v>27001</v>
      </c>
      <c r="BN39">
        <v>0</v>
      </c>
      <c r="BO39" t="s">
        <v>105</v>
      </c>
      <c r="BP39">
        <v>1</v>
      </c>
      <c r="BQ39">
        <v>2</v>
      </c>
      <c r="BR39">
        <v>0</v>
      </c>
      <c r="BS39">
        <v>24.72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142</v>
      </c>
      <c r="CA39">
        <v>95</v>
      </c>
      <c r="CF39">
        <v>0</v>
      </c>
      <c r="CG39">
        <v>0</v>
      </c>
      <c r="CM39">
        <v>0</v>
      </c>
      <c r="CN39" t="s">
        <v>62</v>
      </c>
      <c r="CO39">
        <v>0</v>
      </c>
      <c r="CP39">
        <f t="shared" si="36"/>
        <v>12769.17</v>
      </c>
      <c r="CQ39">
        <f t="shared" si="37"/>
        <v>82.96</v>
      </c>
      <c r="CR39">
        <f t="shared" si="38"/>
        <v>15166.693125</v>
      </c>
      <c r="CS39">
        <f t="shared" si="39"/>
        <v>5485.6769999999997</v>
      </c>
      <c r="CT39">
        <f t="shared" si="40"/>
        <v>3583.9179599999998</v>
      </c>
      <c r="CU39">
        <f t="shared" si="41"/>
        <v>0</v>
      </c>
      <c r="CV39">
        <f t="shared" si="42"/>
        <v>18.077999999999999</v>
      </c>
      <c r="CW39">
        <f t="shared" si="43"/>
        <v>17.350000000000001</v>
      </c>
      <c r="CX39">
        <f t="shared" si="44"/>
        <v>0</v>
      </c>
      <c r="CY39">
        <f t="shared" si="45"/>
        <v>6702.6171000000004</v>
      </c>
      <c r="CZ39">
        <f t="shared" si="46"/>
        <v>3996.9735000000005</v>
      </c>
      <c r="DE39" t="s">
        <v>63</v>
      </c>
      <c r="DF39" t="s">
        <v>63</v>
      </c>
      <c r="DG39" t="s">
        <v>64</v>
      </c>
      <c r="DI39" t="s">
        <v>64</v>
      </c>
      <c r="DJ39" t="s">
        <v>63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107</v>
      </c>
      <c r="DW39" t="s">
        <v>107</v>
      </c>
      <c r="DX39">
        <v>1</v>
      </c>
      <c r="EE39">
        <v>502286020</v>
      </c>
      <c r="EF39">
        <v>2</v>
      </c>
      <c r="EG39" t="s">
        <v>65</v>
      </c>
      <c r="EH39">
        <v>0</v>
      </c>
      <c r="EJ39">
        <v>1</v>
      </c>
      <c r="EK39">
        <v>27001</v>
      </c>
      <c r="EL39" t="s">
        <v>85</v>
      </c>
      <c r="EM39" t="s">
        <v>86</v>
      </c>
      <c r="EO39" t="s">
        <v>68</v>
      </c>
      <c r="EQ39">
        <v>0</v>
      </c>
      <c r="ER39">
        <v>2324.46</v>
      </c>
      <c r="ES39">
        <v>12.2</v>
      </c>
      <c r="ET39">
        <v>2186.19</v>
      </c>
      <c r="EU39">
        <v>177.53</v>
      </c>
      <c r="EV39">
        <v>126.07</v>
      </c>
      <c r="EW39">
        <v>15.72</v>
      </c>
      <c r="EX39">
        <v>13.88</v>
      </c>
      <c r="EY39">
        <v>0</v>
      </c>
      <c r="FQ39">
        <v>0</v>
      </c>
      <c r="FR39">
        <f t="shared" si="47"/>
        <v>0</v>
      </c>
      <c r="FS39">
        <v>0</v>
      </c>
      <c r="FT39" t="s">
        <v>69</v>
      </c>
      <c r="FU39" t="s">
        <v>70</v>
      </c>
      <c r="FV39" t="s">
        <v>70</v>
      </c>
      <c r="FW39" t="s">
        <v>71</v>
      </c>
      <c r="FX39">
        <v>127.8</v>
      </c>
      <c r="FY39">
        <v>80.75</v>
      </c>
      <c r="GD39">
        <v>0</v>
      </c>
      <c r="GF39">
        <v>1915782475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48"/>
        <v>0</v>
      </c>
      <c r="GM39">
        <f t="shared" si="49"/>
        <v>23468.76</v>
      </c>
      <c r="GN39">
        <f t="shared" si="50"/>
        <v>23468.76</v>
      </c>
      <c r="GO39">
        <f t="shared" si="51"/>
        <v>0</v>
      </c>
      <c r="GP39">
        <f t="shared" si="52"/>
        <v>0</v>
      </c>
      <c r="GR39">
        <v>0</v>
      </c>
      <c r="GS39">
        <v>3</v>
      </c>
      <c r="GT39">
        <v>0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IK39">
        <v>0</v>
      </c>
    </row>
    <row r="40" spans="1:245" x14ac:dyDescent="0.35">
      <c r="A40">
        <v>18</v>
      </c>
      <c r="B40">
        <v>1</v>
      </c>
      <c r="C40">
        <v>60</v>
      </c>
      <c r="E40" t="s">
        <v>124</v>
      </c>
      <c r="F40" t="s">
        <v>110</v>
      </c>
      <c r="G40" t="s">
        <v>111</v>
      </c>
      <c r="H40" t="s">
        <v>112</v>
      </c>
      <c r="I40">
        <f>I39*J40</f>
        <v>74.58</v>
      </c>
      <c r="J40">
        <v>110</v>
      </c>
      <c r="O40">
        <f t="shared" si="21"/>
        <v>32269.71</v>
      </c>
      <c r="P40">
        <f t="shared" si="22"/>
        <v>32269.71</v>
      </c>
      <c r="Q40">
        <f t="shared" si="23"/>
        <v>0</v>
      </c>
      <c r="R40">
        <f t="shared" si="24"/>
        <v>0</v>
      </c>
      <c r="S40">
        <f t="shared" si="25"/>
        <v>0</v>
      </c>
      <c r="T40">
        <f t="shared" si="26"/>
        <v>0</v>
      </c>
      <c r="U40">
        <f t="shared" si="27"/>
        <v>0</v>
      </c>
      <c r="V40">
        <f t="shared" si="28"/>
        <v>0</v>
      </c>
      <c r="W40">
        <f t="shared" si="29"/>
        <v>2158.35</v>
      </c>
      <c r="X40">
        <f t="shared" si="30"/>
        <v>0</v>
      </c>
      <c r="Y40">
        <f t="shared" si="31"/>
        <v>0</v>
      </c>
      <c r="AA40">
        <v>502564877</v>
      </c>
      <c r="AB40">
        <f t="shared" si="32"/>
        <v>55.26</v>
      </c>
      <c r="AC40">
        <f t="shared" si="33"/>
        <v>55.26</v>
      </c>
      <c r="AD40">
        <f>ROUND((((ET40)-(EU40))+AE40),6)</f>
        <v>0</v>
      </c>
      <c r="AE40">
        <f>ROUND((EU40),6)</f>
        <v>0</v>
      </c>
      <c r="AF40">
        <f>ROUND((EV40),6)</f>
        <v>0</v>
      </c>
      <c r="AG40">
        <f t="shared" si="34"/>
        <v>0</v>
      </c>
      <c r="AH40">
        <f>(EW40)</f>
        <v>0</v>
      </c>
      <c r="AI40">
        <f>(EX40)</f>
        <v>0</v>
      </c>
      <c r="AJ40">
        <f t="shared" si="35"/>
        <v>28.94</v>
      </c>
      <c r="AK40">
        <v>55.26</v>
      </c>
      <c r="AL40">
        <v>55.26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28.94</v>
      </c>
      <c r="AT40">
        <v>109</v>
      </c>
      <c r="AU40">
        <v>65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7.83</v>
      </c>
      <c r="BH40">
        <v>3</v>
      </c>
      <c r="BI40">
        <v>1</v>
      </c>
      <c r="BJ40" t="s">
        <v>113</v>
      </c>
      <c r="BM40">
        <v>27001</v>
      </c>
      <c r="BN40">
        <v>0</v>
      </c>
      <c r="BO40" t="s">
        <v>110</v>
      </c>
      <c r="BP40">
        <v>1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142</v>
      </c>
      <c r="CA40">
        <v>95</v>
      </c>
      <c r="CF40">
        <v>0</v>
      </c>
      <c r="CG40">
        <v>0</v>
      </c>
      <c r="CM40">
        <v>0</v>
      </c>
      <c r="CO40">
        <v>0</v>
      </c>
      <c r="CP40">
        <f t="shared" si="36"/>
        <v>32269.71</v>
      </c>
      <c r="CQ40">
        <f t="shared" si="37"/>
        <v>432.68579999999997</v>
      </c>
      <c r="CR40">
        <f t="shared" si="38"/>
        <v>0</v>
      </c>
      <c r="CS40">
        <f t="shared" si="39"/>
        <v>0</v>
      </c>
      <c r="CT40">
        <f t="shared" si="40"/>
        <v>0</v>
      </c>
      <c r="CU40">
        <f t="shared" si="41"/>
        <v>0</v>
      </c>
      <c r="CV40">
        <f t="shared" si="42"/>
        <v>0</v>
      </c>
      <c r="CW40">
        <f t="shared" si="43"/>
        <v>0</v>
      </c>
      <c r="CX40">
        <f t="shared" si="44"/>
        <v>28.94</v>
      </c>
      <c r="CY40">
        <f t="shared" si="45"/>
        <v>0</v>
      </c>
      <c r="CZ40">
        <f t="shared" si="46"/>
        <v>0</v>
      </c>
      <c r="DN40">
        <v>0</v>
      </c>
      <c r="DO40">
        <v>0</v>
      </c>
      <c r="DP40">
        <v>1</v>
      </c>
      <c r="DQ40">
        <v>1</v>
      </c>
      <c r="DU40">
        <v>1007</v>
      </c>
      <c r="DV40" t="s">
        <v>112</v>
      </c>
      <c r="DW40" t="s">
        <v>112</v>
      </c>
      <c r="DX40">
        <v>1</v>
      </c>
      <c r="EE40">
        <v>502286020</v>
      </c>
      <c r="EF40">
        <v>2</v>
      </c>
      <c r="EG40" t="s">
        <v>65</v>
      </c>
      <c r="EH40">
        <v>0</v>
      </c>
      <c r="EJ40">
        <v>1</v>
      </c>
      <c r="EK40">
        <v>27001</v>
      </c>
      <c r="EL40" t="s">
        <v>85</v>
      </c>
      <c r="EM40" t="s">
        <v>86</v>
      </c>
      <c r="EQ40">
        <v>0</v>
      </c>
      <c r="ER40">
        <v>55.26</v>
      </c>
      <c r="ES40">
        <v>55.26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47"/>
        <v>0</v>
      </c>
      <c r="FS40">
        <v>0</v>
      </c>
      <c r="FT40" t="s">
        <v>69</v>
      </c>
      <c r="FU40" t="s">
        <v>70</v>
      </c>
      <c r="FV40" t="s">
        <v>70</v>
      </c>
      <c r="FW40" t="s">
        <v>71</v>
      </c>
      <c r="FX40">
        <v>127.8</v>
      </c>
      <c r="FY40">
        <v>80.75</v>
      </c>
      <c r="GD40">
        <v>0</v>
      </c>
      <c r="GF40">
        <v>-1147251145</v>
      </c>
      <c r="GG40">
        <v>2</v>
      </c>
      <c r="GH40">
        <v>1</v>
      </c>
      <c r="GI40">
        <v>2</v>
      </c>
      <c r="GJ40">
        <v>0</v>
      </c>
      <c r="GK40">
        <f>ROUND(R40*(R12)/100,2)</f>
        <v>0</v>
      </c>
      <c r="GL40">
        <f t="shared" si="48"/>
        <v>0</v>
      </c>
      <c r="GM40">
        <f t="shared" si="49"/>
        <v>32269.71</v>
      </c>
      <c r="GN40">
        <f t="shared" si="50"/>
        <v>32269.71</v>
      </c>
      <c r="GO40">
        <f t="shared" si="51"/>
        <v>0</v>
      </c>
      <c r="GP40">
        <f t="shared" si="52"/>
        <v>0</v>
      </c>
      <c r="GR40">
        <v>0</v>
      </c>
      <c r="GS40">
        <v>3</v>
      </c>
      <c r="GT40">
        <v>0</v>
      </c>
      <c r="GV40">
        <f t="shared" si="53"/>
        <v>0</v>
      </c>
      <c r="GW40">
        <v>1</v>
      </c>
      <c r="GX40">
        <f t="shared" si="54"/>
        <v>0</v>
      </c>
      <c r="HA40">
        <v>0</v>
      </c>
      <c r="HB40">
        <v>0</v>
      </c>
      <c r="IK40">
        <v>0</v>
      </c>
    </row>
    <row r="41" spans="1:245" x14ac:dyDescent="0.35">
      <c r="A41">
        <v>17</v>
      </c>
      <c r="B41">
        <v>1</v>
      </c>
      <c r="C41">
        <f>ROW(SmtRes!A70)</f>
        <v>70</v>
      </c>
      <c r="D41">
        <f>ROW(EtalonRes!A70)</f>
        <v>70</v>
      </c>
      <c r="E41" t="s">
        <v>125</v>
      </c>
      <c r="F41" t="s">
        <v>115</v>
      </c>
      <c r="G41" t="s">
        <v>116</v>
      </c>
      <c r="H41" t="s">
        <v>107</v>
      </c>
      <c r="I41">
        <f>ROUND((50)/100,9)</f>
        <v>0.5</v>
      </c>
      <c r="J41">
        <v>0</v>
      </c>
      <c r="O41">
        <f t="shared" si="21"/>
        <v>14535.35</v>
      </c>
      <c r="P41">
        <f t="shared" si="22"/>
        <v>58.07</v>
      </c>
      <c r="Q41">
        <f t="shared" si="23"/>
        <v>11695.6</v>
      </c>
      <c r="R41">
        <f t="shared" si="24"/>
        <v>4306.22</v>
      </c>
      <c r="S41">
        <f t="shared" si="25"/>
        <v>2781.68</v>
      </c>
      <c r="T41">
        <f t="shared" si="26"/>
        <v>0</v>
      </c>
      <c r="U41">
        <f t="shared" si="27"/>
        <v>13.90925</v>
      </c>
      <c r="V41">
        <f t="shared" si="28"/>
        <v>12.875</v>
      </c>
      <c r="W41">
        <f t="shared" si="29"/>
        <v>0</v>
      </c>
      <c r="X41">
        <f t="shared" si="30"/>
        <v>7725.81</v>
      </c>
      <c r="Y41">
        <f t="shared" si="31"/>
        <v>4607.1400000000003</v>
      </c>
      <c r="AA41">
        <v>502564877</v>
      </c>
      <c r="AB41">
        <f t="shared" si="32"/>
        <v>4449.1850000000004</v>
      </c>
      <c r="AC41">
        <f t="shared" si="33"/>
        <v>17.079999999999998</v>
      </c>
      <c r="AD41">
        <f>ROUND(((((ET41*1.25))-((EU41*1.25)))+AE41),6)</f>
        <v>4207.05</v>
      </c>
      <c r="AE41">
        <f>ROUND(((EU41*1.25)),6)</f>
        <v>348.4</v>
      </c>
      <c r="AF41">
        <f>ROUND(((EV41*1.15)),6)</f>
        <v>225.05500000000001</v>
      </c>
      <c r="AG41">
        <f t="shared" si="34"/>
        <v>0</v>
      </c>
      <c r="AH41">
        <f>((EW41*1.15))</f>
        <v>27.8185</v>
      </c>
      <c r="AI41">
        <f>((EX41*1.25))</f>
        <v>25.75</v>
      </c>
      <c r="AJ41">
        <f t="shared" si="35"/>
        <v>0</v>
      </c>
      <c r="AK41">
        <v>3578.42</v>
      </c>
      <c r="AL41">
        <v>17.079999999999998</v>
      </c>
      <c r="AM41">
        <v>3365.64</v>
      </c>
      <c r="AN41">
        <v>278.72000000000003</v>
      </c>
      <c r="AO41">
        <v>195.7</v>
      </c>
      <c r="AP41">
        <v>0</v>
      </c>
      <c r="AQ41">
        <v>24.19</v>
      </c>
      <c r="AR41">
        <v>20.6</v>
      </c>
      <c r="AS41">
        <v>0</v>
      </c>
      <c r="AT41">
        <v>109</v>
      </c>
      <c r="AU41">
        <v>65</v>
      </c>
      <c r="AV41">
        <v>1</v>
      </c>
      <c r="AW41">
        <v>1</v>
      </c>
      <c r="AZ41">
        <v>1</v>
      </c>
      <c r="BA41">
        <v>24.72</v>
      </c>
      <c r="BB41">
        <v>5.56</v>
      </c>
      <c r="BC41">
        <v>6.8</v>
      </c>
      <c r="BH41">
        <v>0</v>
      </c>
      <c r="BI41">
        <v>1</v>
      </c>
      <c r="BJ41" t="s">
        <v>117</v>
      </c>
      <c r="BM41">
        <v>27001</v>
      </c>
      <c r="BN41">
        <v>0</v>
      </c>
      <c r="BO41" t="s">
        <v>115</v>
      </c>
      <c r="BP41">
        <v>1</v>
      </c>
      <c r="BQ41">
        <v>2</v>
      </c>
      <c r="BR41">
        <v>0</v>
      </c>
      <c r="BS41">
        <v>24.72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142</v>
      </c>
      <c r="CA41">
        <v>95</v>
      </c>
      <c r="CF41">
        <v>0</v>
      </c>
      <c r="CG41">
        <v>0</v>
      </c>
      <c r="CM41">
        <v>0</v>
      </c>
      <c r="CN41" t="s">
        <v>62</v>
      </c>
      <c r="CO41">
        <v>0</v>
      </c>
      <c r="CP41">
        <f t="shared" si="36"/>
        <v>14535.35</v>
      </c>
      <c r="CQ41">
        <f t="shared" si="37"/>
        <v>116.14399999999999</v>
      </c>
      <c r="CR41">
        <f t="shared" si="38"/>
        <v>23391.198</v>
      </c>
      <c r="CS41">
        <f t="shared" si="39"/>
        <v>8612.4479999999985</v>
      </c>
      <c r="CT41">
        <f t="shared" si="40"/>
        <v>5563.3595999999998</v>
      </c>
      <c r="CU41">
        <f t="shared" si="41"/>
        <v>0</v>
      </c>
      <c r="CV41">
        <f t="shared" si="42"/>
        <v>27.8185</v>
      </c>
      <c r="CW41">
        <f t="shared" si="43"/>
        <v>25.75</v>
      </c>
      <c r="CX41">
        <f t="shared" si="44"/>
        <v>0</v>
      </c>
      <c r="CY41">
        <f t="shared" si="45"/>
        <v>7725.8109999999997</v>
      </c>
      <c r="CZ41">
        <f t="shared" si="46"/>
        <v>4607.1350000000002</v>
      </c>
      <c r="DE41" t="s">
        <v>63</v>
      </c>
      <c r="DF41" t="s">
        <v>63</v>
      </c>
      <c r="DG41" t="s">
        <v>64</v>
      </c>
      <c r="DI41" t="s">
        <v>64</v>
      </c>
      <c r="DJ41" t="s">
        <v>63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107</v>
      </c>
      <c r="DW41" t="s">
        <v>107</v>
      </c>
      <c r="DX41">
        <v>1</v>
      </c>
      <c r="EE41">
        <v>502286020</v>
      </c>
      <c r="EF41">
        <v>2</v>
      </c>
      <c r="EG41" t="s">
        <v>65</v>
      </c>
      <c r="EH41">
        <v>0</v>
      </c>
      <c r="EJ41">
        <v>1</v>
      </c>
      <c r="EK41">
        <v>27001</v>
      </c>
      <c r="EL41" t="s">
        <v>85</v>
      </c>
      <c r="EM41" t="s">
        <v>86</v>
      </c>
      <c r="EO41" t="s">
        <v>68</v>
      </c>
      <c r="EQ41">
        <v>0</v>
      </c>
      <c r="ER41">
        <v>3578.42</v>
      </c>
      <c r="ES41">
        <v>17.079999999999998</v>
      </c>
      <c r="ET41">
        <v>3365.64</v>
      </c>
      <c r="EU41">
        <v>278.72000000000003</v>
      </c>
      <c r="EV41">
        <v>195.7</v>
      </c>
      <c r="EW41">
        <v>24.19</v>
      </c>
      <c r="EX41">
        <v>20.6</v>
      </c>
      <c r="EY41">
        <v>0</v>
      </c>
      <c r="FQ41">
        <v>0</v>
      </c>
      <c r="FR41">
        <f t="shared" si="47"/>
        <v>0</v>
      </c>
      <c r="FS41">
        <v>0</v>
      </c>
      <c r="FT41" t="s">
        <v>69</v>
      </c>
      <c r="FU41" t="s">
        <v>70</v>
      </c>
      <c r="FV41" t="s">
        <v>70</v>
      </c>
      <c r="FW41" t="s">
        <v>71</v>
      </c>
      <c r="FX41">
        <v>127.8</v>
      </c>
      <c r="FY41">
        <v>80.75</v>
      </c>
      <c r="GD41">
        <v>0</v>
      </c>
      <c r="GF41">
        <v>-1270790807</v>
      </c>
      <c r="GG41">
        <v>2</v>
      </c>
      <c r="GH41">
        <v>1</v>
      </c>
      <c r="GI41">
        <v>2</v>
      </c>
      <c r="GJ41">
        <v>0</v>
      </c>
      <c r="GK41">
        <f>ROUND(R41*(R12)/100,2)</f>
        <v>0</v>
      </c>
      <c r="GL41">
        <f t="shared" si="48"/>
        <v>0</v>
      </c>
      <c r="GM41">
        <f t="shared" si="49"/>
        <v>26868.3</v>
      </c>
      <c r="GN41">
        <f t="shared" si="50"/>
        <v>26868.3</v>
      </c>
      <c r="GO41">
        <f t="shared" si="51"/>
        <v>0</v>
      </c>
      <c r="GP41">
        <f t="shared" si="52"/>
        <v>0</v>
      </c>
      <c r="GR41">
        <v>0</v>
      </c>
      <c r="GS41">
        <v>3</v>
      </c>
      <c r="GT41">
        <v>0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IK41">
        <v>0</v>
      </c>
    </row>
    <row r="42" spans="1:245" x14ac:dyDescent="0.35">
      <c r="A42">
        <v>18</v>
      </c>
      <c r="B42">
        <v>1</v>
      </c>
      <c r="C42">
        <v>69</v>
      </c>
      <c r="E42" t="s">
        <v>126</v>
      </c>
      <c r="F42" t="s">
        <v>119</v>
      </c>
      <c r="G42" t="s">
        <v>120</v>
      </c>
      <c r="H42" t="s">
        <v>112</v>
      </c>
      <c r="I42">
        <f>I41*J42</f>
        <v>63</v>
      </c>
      <c r="J42">
        <v>126</v>
      </c>
      <c r="O42">
        <f t="shared" si="21"/>
        <v>85477.39</v>
      </c>
      <c r="P42">
        <f t="shared" si="22"/>
        <v>85477.39</v>
      </c>
      <c r="Q42">
        <f t="shared" si="23"/>
        <v>0</v>
      </c>
      <c r="R42">
        <f t="shared" si="24"/>
        <v>0</v>
      </c>
      <c r="S42">
        <f t="shared" si="25"/>
        <v>0</v>
      </c>
      <c r="T42">
        <f t="shared" si="26"/>
        <v>0</v>
      </c>
      <c r="U42">
        <f t="shared" si="27"/>
        <v>0</v>
      </c>
      <c r="V42">
        <f t="shared" si="28"/>
        <v>0</v>
      </c>
      <c r="W42">
        <f t="shared" si="29"/>
        <v>1944.18</v>
      </c>
      <c r="X42">
        <f t="shared" si="30"/>
        <v>0</v>
      </c>
      <c r="Y42">
        <f t="shared" si="31"/>
        <v>0</v>
      </c>
      <c r="AA42">
        <v>502564877</v>
      </c>
      <c r="AB42">
        <f t="shared" si="32"/>
        <v>118.6</v>
      </c>
      <c r="AC42">
        <f t="shared" si="33"/>
        <v>118.6</v>
      </c>
      <c r="AD42">
        <f>ROUND((((ET42)-(EU42))+AE42),6)</f>
        <v>0</v>
      </c>
      <c r="AE42">
        <f>ROUND((EU42),6)</f>
        <v>0</v>
      </c>
      <c r="AF42">
        <f>ROUND((EV42),6)</f>
        <v>0</v>
      </c>
      <c r="AG42">
        <f t="shared" si="34"/>
        <v>0</v>
      </c>
      <c r="AH42">
        <f>(EW42)</f>
        <v>0</v>
      </c>
      <c r="AI42">
        <f>(EX42)</f>
        <v>0</v>
      </c>
      <c r="AJ42">
        <f t="shared" si="35"/>
        <v>30.86</v>
      </c>
      <c r="AK42">
        <v>118.6</v>
      </c>
      <c r="AL42">
        <v>118.6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30.86</v>
      </c>
      <c r="AT42">
        <v>109</v>
      </c>
      <c r="AU42">
        <v>65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11.44</v>
      </c>
      <c r="BH42">
        <v>3</v>
      </c>
      <c r="BI42">
        <v>1</v>
      </c>
      <c r="BJ42" t="s">
        <v>121</v>
      </c>
      <c r="BM42">
        <v>27001</v>
      </c>
      <c r="BN42">
        <v>0</v>
      </c>
      <c r="BO42" t="s">
        <v>119</v>
      </c>
      <c r="BP42">
        <v>1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142</v>
      </c>
      <c r="CA42">
        <v>95</v>
      </c>
      <c r="CF42">
        <v>0</v>
      </c>
      <c r="CG42">
        <v>0</v>
      </c>
      <c r="CM42">
        <v>0</v>
      </c>
      <c r="CO42">
        <v>0</v>
      </c>
      <c r="CP42">
        <f t="shared" si="36"/>
        <v>85477.39</v>
      </c>
      <c r="CQ42">
        <f t="shared" si="37"/>
        <v>1356.7839999999999</v>
      </c>
      <c r="CR42">
        <f t="shared" si="38"/>
        <v>0</v>
      </c>
      <c r="CS42">
        <f t="shared" si="39"/>
        <v>0</v>
      </c>
      <c r="CT42">
        <f t="shared" si="40"/>
        <v>0</v>
      </c>
      <c r="CU42">
        <f t="shared" si="41"/>
        <v>0</v>
      </c>
      <c r="CV42">
        <f t="shared" si="42"/>
        <v>0</v>
      </c>
      <c r="CW42">
        <f t="shared" si="43"/>
        <v>0</v>
      </c>
      <c r="CX42">
        <f t="shared" si="44"/>
        <v>30.86</v>
      </c>
      <c r="CY42">
        <f t="shared" si="45"/>
        <v>0</v>
      </c>
      <c r="CZ42">
        <f t="shared" si="46"/>
        <v>0</v>
      </c>
      <c r="DN42">
        <v>0</v>
      </c>
      <c r="DO42">
        <v>0</v>
      </c>
      <c r="DP42">
        <v>1</v>
      </c>
      <c r="DQ42">
        <v>1</v>
      </c>
      <c r="DU42">
        <v>1007</v>
      </c>
      <c r="DV42" t="s">
        <v>112</v>
      </c>
      <c r="DW42" t="s">
        <v>112</v>
      </c>
      <c r="DX42">
        <v>1</v>
      </c>
      <c r="EE42">
        <v>502286020</v>
      </c>
      <c r="EF42">
        <v>2</v>
      </c>
      <c r="EG42" t="s">
        <v>65</v>
      </c>
      <c r="EH42">
        <v>0</v>
      </c>
      <c r="EJ42">
        <v>1</v>
      </c>
      <c r="EK42">
        <v>27001</v>
      </c>
      <c r="EL42" t="s">
        <v>85</v>
      </c>
      <c r="EM42" t="s">
        <v>86</v>
      </c>
      <c r="EQ42">
        <v>0</v>
      </c>
      <c r="ER42">
        <v>118.6</v>
      </c>
      <c r="ES42">
        <v>118.6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47"/>
        <v>0</v>
      </c>
      <c r="FS42">
        <v>0</v>
      </c>
      <c r="FT42" t="s">
        <v>69</v>
      </c>
      <c r="FU42" t="s">
        <v>70</v>
      </c>
      <c r="FV42" t="s">
        <v>70</v>
      </c>
      <c r="FW42" t="s">
        <v>71</v>
      </c>
      <c r="FX42">
        <v>127.8</v>
      </c>
      <c r="FY42">
        <v>80.75</v>
      </c>
      <c r="GD42">
        <v>0</v>
      </c>
      <c r="GF42">
        <v>214605657</v>
      </c>
      <c r="GG42">
        <v>2</v>
      </c>
      <c r="GH42">
        <v>1</v>
      </c>
      <c r="GI42">
        <v>2</v>
      </c>
      <c r="GJ42">
        <v>0</v>
      </c>
      <c r="GK42">
        <f>ROUND(R42*(R12)/100,2)</f>
        <v>0</v>
      </c>
      <c r="GL42">
        <f t="shared" si="48"/>
        <v>0</v>
      </c>
      <c r="GM42">
        <f t="shared" si="49"/>
        <v>85477.39</v>
      </c>
      <c r="GN42">
        <f t="shared" si="50"/>
        <v>85477.39</v>
      </c>
      <c r="GO42">
        <f t="shared" si="51"/>
        <v>0</v>
      </c>
      <c r="GP42">
        <f t="shared" si="52"/>
        <v>0</v>
      </c>
      <c r="GR42">
        <v>0</v>
      </c>
      <c r="GS42">
        <v>3</v>
      </c>
      <c r="GT42">
        <v>0</v>
      </c>
      <c r="GV42">
        <f t="shared" si="53"/>
        <v>0</v>
      </c>
      <c r="GW42">
        <v>1</v>
      </c>
      <c r="GX42">
        <f t="shared" si="54"/>
        <v>0</v>
      </c>
      <c r="HA42">
        <v>0</v>
      </c>
      <c r="HB42">
        <v>0</v>
      </c>
      <c r="IK42">
        <v>0</v>
      </c>
    </row>
    <row r="43" spans="1:245" x14ac:dyDescent="0.35">
      <c r="A43">
        <v>17</v>
      </c>
      <c r="B43">
        <v>1</v>
      </c>
      <c r="C43">
        <f>ROW(SmtRes!A82)</f>
        <v>82</v>
      </c>
      <c r="D43">
        <f>ROW(EtalonRes!A82)</f>
        <v>82</v>
      </c>
      <c r="E43" t="s">
        <v>127</v>
      </c>
      <c r="F43" t="s">
        <v>128</v>
      </c>
      <c r="G43" t="s">
        <v>129</v>
      </c>
      <c r="H43" t="s">
        <v>130</v>
      </c>
      <c r="I43">
        <f>ROUND((3*1.75*0.3*65)/100,9)</f>
        <v>1.0237499999999999</v>
      </c>
      <c r="J43">
        <v>0</v>
      </c>
      <c r="O43">
        <f t="shared" si="21"/>
        <v>191911.02</v>
      </c>
      <c r="P43">
        <f t="shared" si="22"/>
        <v>22771.1</v>
      </c>
      <c r="Q43">
        <f t="shared" si="23"/>
        <v>114798.2</v>
      </c>
      <c r="R43">
        <f t="shared" si="24"/>
        <v>36568.76</v>
      </c>
      <c r="S43">
        <f t="shared" si="25"/>
        <v>54341.72</v>
      </c>
      <c r="T43">
        <f t="shared" si="26"/>
        <v>0</v>
      </c>
      <c r="U43">
        <f t="shared" si="27"/>
        <v>251.52104249999996</v>
      </c>
      <c r="V43">
        <f t="shared" si="28"/>
        <v>113.44429687499999</v>
      </c>
      <c r="W43">
        <f t="shared" si="29"/>
        <v>0</v>
      </c>
      <c r="X43">
        <f t="shared" si="30"/>
        <v>99092.42</v>
      </c>
      <c r="Y43">
        <f t="shared" si="31"/>
        <v>59091.81</v>
      </c>
      <c r="AA43">
        <v>502564877</v>
      </c>
      <c r="AB43">
        <f t="shared" si="32"/>
        <v>19691.499</v>
      </c>
      <c r="AC43">
        <f t="shared" si="33"/>
        <v>1728.27</v>
      </c>
      <c r="AD43">
        <f>ROUND(((((ET43*1.25))-((EU43*1.25)))+AE43),6)</f>
        <v>15815.9375</v>
      </c>
      <c r="AE43">
        <f>ROUND(((EU43*1.25)),6)</f>
        <v>1445</v>
      </c>
      <c r="AF43">
        <f>ROUND(((EV43*1.15)),6)</f>
        <v>2147.2914999999998</v>
      </c>
      <c r="AG43">
        <f t="shared" si="34"/>
        <v>0</v>
      </c>
      <c r="AH43">
        <f>((EW43*1.15))</f>
        <v>245.68599999999998</v>
      </c>
      <c r="AI43">
        <f>((EX43*1.25))</f>
        <v>110.8125</v>
      </c>
      <c r="AJ43">
        <f t="shared" si="35"/>
        <v>0</v>
      </c>
      <c r="AK43">
        <v>16248.23</v>
      </c>
      <c r="AL43">
        <v>1728.27</v>
      </c>
      <c r="AM43">
        <v>12652.75</v>
      </c>
      <c r="AN43">
        <v>1156</v>
      </c>
      <c r="AO43">
        <v>1867.21</v>
      </c>
      <c r="AP43">
        <v>0</v>
      </c>
      <c r="AQ43">
        <v>213.64</v>
      </c>
      <c r="AR43">
        <v>88.65</v>
      </c>
      <c r="AS43">
        <v>0</v>
      </c>
      <c r="AT43">
        <v>109</v>
      </c>
      <c r="AU43">
        <v>65</v>
      </c>
      <c r="AV43">
        <v>1</v>
      </c>
      <c r="AW43">
        <v>1</v>
      </c>
      <c r="AZ43">
        <v>1</v>
      </c>
      <c r="BA43">
        <v>24.72</v>
      </c>
      <c r="BB43">
        <v>7.09</v>
      </c>
      <c r="BC43">
        <v>12.87</v>
      </c>
      <c r="BH43">
        <v>0</v>
      </c>
      <c r="BI43">
        <v>1</v>
      </c>
      <c r="BJ43" t="s">
        <v>131</v>
      </c>
      <c r="BM43">
        <v>27001</v>
      </c>
      <c r="BN43">
        <v>0</v>
      </c>
      <c r="BO43" t="s">
        <v>128</v>
      </c>
      <c r="BP43">
        <v>1</v>
      </c>
      <c r="BQ43">
        <v>2</v>
      </c>
      <c r="BR43">
        <v>0</v>
      </c>
      <c r="BS43">
        <v>24.72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142</v>
      </c>
      <c r="CA43">
        <v>95</v>
      </c>
      <c r="CF43">
        <v>0</v>
      </c>
      <c r="CG43">
        <v>0</v>
      </c>
      <c r="CM43">
        <v>0</v>
      </c>
      <c r="CN43" t="s">
        <v>62</v>
      </c>
      <c r="CO43">
        <v>0</v>
      </c>
      <c r="CP43">
        <f t="shared" si="36"/>
        <v>191911.02</v>
      </c>
      <c r="CQ43">
        <f t="shared" si="37"/>
        <v>22242.834899999998</v>
      </c>
      <c r="CR43">
        <f t="shared" si="38"/>
        <v>112134.996875</v>
      </c>
      <c r="CS43">
        <f t="shared" si="39"/>
        <v>35720.400000000001</v>
      </c>
      <c r="CT43">
        <f t="shared" si="40"/>
        <v>53081.045879999991</v>
      </c>
      <c r="CU43">
        <f t="shared" si="41"/>
        <v>0</v>
      </c>
      <c r="CV43">
        <f t="shared" si="42"/>
        <v>245.68599999999998</v>
      </c>
      <c r="CW43">
        <f t="shared" si="43"/>
        <v>110.8125</v>
      </c>
      <c r="CX43">
        <f t="shared" si="44"/>
        <v>0</v>
      </c>
      <c r="CY43">
        <f t="shared" si="45"/>
        <v>99092.423200000005</v>
      </c>
      <c r="CZ43">
        <f t="shared" si="46"/>
        <v>59091.812000000013</v>
      </c>
      <c r="DE43" t="s">
        <v>63</v>
      </c>
      <c r="DF43" t="s">
        <v>63</v>
      </c>
      <c r="DG43" t="s">
        <v>64</v>
      </c>
      <c r="DI43" t="s">
        <v>64</v>
      </c>
      <c r="DJ43" t="s">
        <v>63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130</v>
      </c>
      <c r="DW43" t="s">
        <v>130</v>
      </c>
      <c r="DX43">
        <v>1</v>
      </c>
      <c r="EE43">
        <v>502286020</v>
      </c>
      <c r="EF43">
        <v>2</v>
      </c>
      <c r="EG43" t="s">
        <v>65</v>
      </c>
      <c r="EH43">
        <v>0</v>
      </c>
      <c r="EJ43">
        <v>1</v>
      </c>
      <c r="EK43">
        <v>27001</v>
      </c>
      <c r="EL43" t="s">
        <v>85</v>
      </c>
      <c r="EM43" t="s">
        <v>86</v>
      </c>
      <c r="EO43" t="s">
        <v>68</v>
      </c>
      <c r="EQ43">
        <v>0</v>
      </c>
      <c r="ER43">
        <v>16248.23</v>
      </c>
      <c r="ES43">
        <v>1728.27</v>
      </c>
      <c r="ET43">
        <v>12652.75</v>
      </c>
      <c r="EU43">
        <v>1156</v>
      </c>
      <c r="EV43">
        <v>1867.21</v>
      </c>
      <c r="EW43">
        <v>213.64</v>
      </c>
      <c r="EX43">
        <v>88.65</v>
      </c>
      <c r="EY43">
        <v>0</v>
      </c>
      <c r="FQ43">
        <v>0</v>
      </c>
      <c r="FR43">
        <f t="shared" si="47"/>
        <v>0</v>
      </c>
      <c r="FS43">
        <v>0</v>
      </c>
      <c r="FT43" t="s">
        <v>69</v>
      </c>
      <c r="FU43" t="s">
        <v>70</v>
      </c>
      <c r="FV43" t="s">
        <v>70</v>
      </c>
      <c r="FW43" t="s">
        <v>71</v>
      </c>
      <c r="FX43">
        <v>127.8</v>
      </c>
      <c r="FY43">
        <v>80.75</v>
      </c>
      <c r="GD43">
        <v>0</v>
      </c>
      <c r="GF43">
        <v>-1690418187</v>
      </c>
      <c r="GG43">
        <v>2</v>
      </c>
      <c r="GH43">
        <v>1</v>
      </c>
      <c r="GI43">
        <v>2</v>
      </c>
      <c r="GJ43">
        <v>0</v>
      </c>
      <c r="GK43">
        <f>ROUND(R43*(R12)/100,2)</f>
        <v>0</v>
      </c>
      <c r="GL43">
        <f t="shared" si="48"/>
        <v>0</v>
      </c>
      <c r="GM43">
        <f t="shared" si="49"/>
        <v>350095.25</v>
      </c>
      <c r="GN43">
        <f t="shared" si="50"/>
        <v>350095.25</v>
      </c>
      <c r="GO43">
        <f t="shared" si="51"/>
        <v>0</v>
      </c>
      <c r="GP43">
        <f t="shared" si="52"/>
        <v>0</v>
      </c>
      <c r="GR43">
        <v>0</v>
      </c>
      <c r="GS43">
        <v>3</v>
      </c>
      <c r="GT43">
        <v>0</v>
      </c>
      <c r="GV43">
        <f t="shared" si="53"/>
        <v>0</v>
      </c>
      <c r="GW43">
        <v>1</v>
      </c>
      <c r="GX43">
        <f t="shared" si="54"/>
        <v>0</v>
      </c>
      <c r="HA43">
        <v>0</v>
      </c>
      <c r="HB43">
        <v>0</v>
      </c>
      <c r="IK43">
        <v>0</v>
      </c>
    </row>
    <row r="44" spans="1:245" x14ac:dyDescent="0.35">
      <c r="A44">
        <v>18</v>
      </c>
      <c r="B44">
        <v>1</v>
      </c>
      <c r="C44">
        <v>82</v>
      </c>
      <c r="E44" t="s">
        <v>132</v>
      </c>
      <c r="F44" t="s">
        <v>95</v>
      </c>
      <c r="G44" t="s">
        <v>96</v>
      </c>
      <c r="H44" t="s">
        <v>97</v>
      </c>
      <c r="I44">
        <f>I43*J44</f>
        <v>65</v>
      </c>
      <c r="J44">
        <v>63.492063492063501</v>
      </c>
      <c r="O44">
        <f t="shared" si="21"/>
        <v>486421.42</v>
      </c>
      <c r="P44">
        <f t="shared" si="22"/>
        <v>486421.42</v>
      </c>
      <c r="Q44">
        <f t="shared" si="23"/>
        <v>0</v>
      </c>
      <c r="R44">
        <f t="shared" si="24"/>
        <v>0</v>
      </c>
      <c r="S44">
        <f t="shared" si="25"/>
        <v>0</v>
      </c>
      <c r="T44">
        <f t="shared" si="26"/>
        <v>0</v>
      </c>
      <c r="U44">
        <f t="shared" si="27"/>
        <v>0</v>
      </c>
      <c r="V44">
        <f t="shared" si="28"/>
        <v>0</v>
      </c>
      <c r="W44">
        <f t="shared" si="29"/>
        <v>2596.75</v>
      </c>
      <c r="X44">
        <f t="shared" si="30"/>
        <v>0</v>
      </c>
      <c r="Y44">
        <f t="shared" si="31"/>
        <v>0</v>
      </c>
      <c r="AA44">
        <v>502564877</v>
      </c>
      <c r="AB44">
        <f t="shared" si="32"/>
        <v>1358.15</v>
      </c>
      <c r="AC44">
        <f t="shared" si="33"/>
        <v>1358.15</v>
      </c>
      <c r="AD44">
        <f>ROUND((((ET44)-(EU44))+AE44),6)</f>
        <v>0</v>
      </c>
      <c r="AE44">
        <f>ROUND((EU44),6)</f>
        <v>0</v>
      </c>
      <c r="AF44">
        <f>ROUND((EV44),6)</f>
        <v>0</v>
      </c>
      <c r="AG44">
        <f t="shared" si="34"/>
        <v>0</v>
      </c>
      <c r="AH44">
        <f>(EW44)</f>
        <v>0</v>
      </c>
      <c r="AI44">
        <f>(EX44)</f>
        <v>0</v>
      </c>
      <c r="AJ44">
        <f t="shared" si="35"/>
        <v>39.950000000000003</v>
      </c>
      <c r="AK44">
        <v>1358.15</v>
      </c>
      <c r="AL44">
        <v>1358.15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39.950000000000003</v>
      </c>
      <c r="AT44">
        <v>109</v>
      </c>
      <c r="AU44">
        <v>65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5.51</v>
      </c>
      <c r="BH44">
        <v>3</v>
      </c>
      <c r="BI44">
        <v>1</v>
      </c>
      <c r="BJ44" t="s">
        <v>98</v>
      </c>
      <c r="BM44">
        <v>27001</v>
      </c>
      <c r="BN44">
        <v>0</v>
      </c>
      <c r="BO44" t="s">
        <v>95</v>
      </c>
      <c r="BP44">
        <v>1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142</v>
      </c>
      <c r="CA44">
        <v>95</v>
      </c>
      <c r="CF44">
        <v>0</v>
      </c>
      <c r="CG44">
        <v>0</v>
      </c>
      <c r="CM44">
        <v>0</v>
      </c>
      <c r="CO44">
        <v>0</v>
      </c>
      <c r="CP44">
        <f t="shared" si="36"/>
        <v>486421.42</v>
      </c>
      <c r="CQ44">
        <f t="shared" si="37"/>
        <v>7483.4065000000001</v>
      </c>
      <c r="CR44">
        <f t="shared" si="38"/>
        <v>0</v>
      </c>
      <c r="CS44">
        <f t="shared" si="39"/>
        <v>0</v>
      </c>
      <c r="CT44">
        <f t="shared" si="40"/>
        <v>0</v>
      </c>
      <c r="CU44">
        <f t="shared" si="41"/>
        <v>0</v>
      </c>
      <c r="CV44">
        <f t="shared" si="42"/>
        <v>0</v>
      </c>
      <c r="CW44">
        <f t="shared" si="43"/>
        <v>0</v>
      </c>
      <c r="CX44">
        <f t="shared" si="44"/>
        <v>39.950000000000003</v>
      </c>
      <c r="CY44">
        <f t="shared" si="45"/>
        <v>0</v>
      </c>
      <c r="CZ44">
        <f t="shared" si="46"/>
        <v>0</v>
      </c>
      <c r="DN44">
        <v>0</v>
      </c>
      <c r="DO44">
        <v>0</v>
      </c>
      <c r="DP44">
        <v>1</v>
      </c>
      <c r="DQ44">
        <v>1</v>
      </c>
      <c r="DU44">
        <v>1010</v>
      </c>
      <c r="DV44" t="s">
        <v>97</v>
      </c>
      <c r="DW44" t="s">
        <v>97</v>
      </c>
      <c r="DX44">
        <v>1</v>
      </c>
      <c r="EE44">
        <v>502286020</v>
      </c>
      <c r="EF44">
        <v>2</v>
      </c>
      <c r="EG44" t="s">
        <v>65</v>
      </c>
      <c r="EH44">
        <v>0</v>
      </c>
      <c r="EJ44">
        <v>1</v>
      </c>
      <c r="EK44">
        <v>27001</v>
      </c>
      <c r="EL44" t="s">
        <v>85</v>
      </c>
      <c r="EM44" t="s">
        <v>86</v>
      </c>
      <c r="EQ44">
        <v>0</v>
      </c>
      <c r="ER44">
        <v>1358.15</v>
      </c>
      <c r="ES44">
        <v>1358.15</v>
      </c>
      <c r="ET44">
        <v>0</v>
      </c>
      <c r="EU44">
        <v>0</v>
      </c>
      <c r="EV44">
        <v>0</v>
      </c>
      <c r="EW44">
        <v>0</v>
      </c>
      <c r="EX44">
        <v>0</v>
      </c>
      <c r="FQ44">
        <v>0</v>
      </c>
      <c r="FR44">
        <f t="shared" si="47"/>
        <v>0</v>
      </c>
      <c r="FS44">
        <v>0</v>
      </c>
      <c r="FT44" t="s">
        <v>69</v>
      </c>
      <c r="FU44" t="s">
        <v>70</v>
      </c>
      <c r="FV44" t="s">
        <v>70</v>
      </c>
      <c r="FW44" t="s">
        <v>71</v>
      </c>
      <c r="FX44">
        <v>127.8</v>
      </c>
      <c r="FY44">
        <v>80.75</v>
      </c>
      <c r="GD44">
        <v>0</v>
      </c>
      <c r="GF44">
        <v>-1902898408</v>
      </c>
      <c r="GG44">
        <v>2</v>
      </c>
      <c r="GH44">
        <v>1</v>
      </c>
      <c r="GI44">
        <v>2</v>
      </c>
      <c r="GJ44">
        <v>0</v>
      </c>
      <c r="GK44">
        <f>ROUND(R44*(R12)/100,2)</f>
        <v>0</v>
      </c>
      <c r="GL44">
        <f t="shared" si="48"/>
        <v>0</v>
      </c>
      <c r="GM44">
        <f t="shared" si="49"/>
        <v>486421.42</v>
      </c>
      <c r="GN44">
        <f t="shared" si="50"/>
        <v>486421.42</v>
      </c>
      <c r="GO44">
        <f t="shared" si="51"/>
        <v>0</v>
      </c>
      <c r="GP44">
        <f t="shared" si="52"/>
        <v>0</v>
      </c>
      <c r="GR44">
        <v>0</v>
      </c>
      <c r="GS44">
        <v>3</v>
      </c>
      <c r="GT44">
        <v>0</v>
      </c>
      <c r="GV44">
        <f t="shared" si="53"/>
        <v>0</v>
      </c>
      <c r="GW44">
        <v>1</v>
      </c>
      <c r="GX44">
        <f t="shared" si="54"/>
        <v>0</v>
      </c>
      <c r="HA44">
        <v>0</v>
      </c>
      <c r="HB44">
        <v>0</v>
      </c>
      <c r="IK44">
        <v>0</v>
      </c>
    </row>
    <row r="45" spans="1:245" x14ac:dyDescent="0.35">
      <c r="A45">
        <v>17</v>
      </c>
      <c r="B45">
        <v>1</v>
      </c>
      <c r="C45">
        <f>ROW(SmtRes!A87)</f>
        <v>87</v>
      </c>
      <c r="D45">
        <f>ROW(EtalonRes!A87)</f>
        <v>87</v>
      </c>
      <c r="E45" t="s">
        <v>133</v>
      </c>
      <c r="F45" t="s">
        <v>100</v>
      </c>
      <c r="G45" t="s">
        <v>101</v>
      </c>
      <c r="H45" t="s">
        <v>102</v>
      </c>
      <c r="I45">
        <f>ROUND((46.02)/100,9)</f>
        <v>0.4602</v>
      </c>
      <c r="J45">
        <v>0</v>
      </c>
      <c r="O45">
        <f t="shared" si="21"/>
        <v>30588.87</v>
      </c>
      <c r="P45">
        <f t="shared" si="22"/>
        <v>0</v>
      </c>
      <c r="Q45">
        <f t="shared" si="23"/>
        <v>13591.32</v>
      </c>
      <c r="R45">
        <f t="shared" si="24"/>
        <v>5284.33</v>
      </c>
      <c r="S45">
        <f t="shared" si="25"/>
        <v>16997.55</v>
      </c>
      <c r="T45">
        <f t="shared" si="26"/>
        <v>0</v>
      </c>
      <c r="U45">
        <f t="shared" si="27"/>
        <v>82.743960000000001</v>
      </c>
      <c r="V45">
        <f t="shared" si="28"/>
        <v>20.998926000000001</v>
      </c>
      <c r="W45">
        <f t="shared" si="29"/>
        <v>0</v>
      </c>
      <c r="X45">
        <f t="shared" si="30"/>
        <v>24287.25</v>
      </c>
      <c r="Y45">
        <f t="shared" si="31"/>
        <v>14483.22</v>
      </c>
      <c r="AA45">
        <v>502564877</v>
      </c>
      <c r="AB45">
        <f t="shared" si="32"/>
        <v>3872.04</v>
      </c>
      <c r="AC45">
        <f t="shared" si="33"/>
        <v>0</v>
      </c>
      <c r="AD45">
        <f>ROUND((((ET45)-(EU45))+AE45),6)</f>
        <v>2377.9</v>
      </c>
      <c r="AE45">
        <f>ROUND((EU45),6)</f>
        <v>464.51</v>
      </c>
      <c r="AF45">
        <f>ROUND((EV45),6)</f>
        <v>1494.14</v>
      </c>
      <c r="AG45">
        <f t="shared" si="34"/>
        <v>0</v>
      </c>
      <c r="AH45">
        <f>(EW45)</f>
        <v>179.8</v>
      </c>
      <c r="AI45">
        <f>(EX45)</f>
        <v>45.63</v>
      </c>
      <c r="AJ45">
        <f t="shared" si="35"/>
        <v>0</v>
      </c>
      <c r="AK45">
        <v>3872.04</v>
      </c>
      <c r="AL45">
        <v>0</v>
      </c>
      <c r="AM45">
        <v>2377.9</v>
      </c>
      <c r="AN45">
        <v>464.51</v>
      </c>
      <c r="AO45">
        <v>1494.14</v>
      </c>
      <c r="AP45">
        <v>0</v>
      </c>
      <c r="AQ45">
        <v>179.8</v>
      </c>
      <c r="AR45">
        <v>45.63</v>
      </c>
      <c r="AS45">
        <v>0</v>
      </c>
      <c r="AT45">
        <v>109</v>
      </c>
      <c r="AU45">
        <v>65</v>
      </c>
      <c r="AV45">
        <v>1</v>
      </c>
      <c r="AW45">
        <v>1</v>
      </c>
      <c r="AZ45">
        <v>1</v>
      </c>
      <c r="BA45">
        <v>24.72</v>
      </c>
      <c r="BB45">
        <v>12.42</v>
      </c>
      <c r="BC45">
        <v>1</v>
      </c>
      <c r="BH45">
        <v>0</v>
      </c>
      <c r="BI45">
        <v>1</v>
      </c>
      <c r="BJ45" t="s">
        <v>103</v>
      </c>
      <c r="BM45">
        <v>27001</v>
      </c>
      <c r="BN45">
        <v>0</v>
      </c>
      <c r="BO45" t="s">
        <v>100</v>
      </c>
      <c r="BP45">
        <v>1</v>
      </c>
      <c r="BQ45">
        <v>2</v>
      </c>
      <c r="BR45">
        <v>0</v>
      </c>
      <c r="BS45">
        <v>24.72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142</v>
      </c>
      <c r="CA45">
        <v>95</v>
      </c>
      <c r="CF45">
        <v>0</v>
      </c>
      <c r="CG45">
        <v>0</v>
      </c>
      <c r="CM45">
        <v>0</v>
      </c>
      <c r="CO45">
        <v>0</v>
      </c>
      <c r="CP45">
        <f t="shared" si="36"/>
        <v>30588.87</v>
      </c>
      <c r="CQ45">
        <f t="shared" si="37"/>
        <v>0</v>
      </c>
      <c r="CR45">
        <f t="shared" si="38"/>
        <v>29533.518</v>
      </c>
      <c r="CS45">
        <f t="shared" si="39"/>
        <v>11482.687199999998</v>
      </c>
      <c r="CT45">
        <f t="shared" si="40"/>
        <v>36935.140800000001</v>
      </c>
      <c r="CU45">
        <f t="shared" si="41"/>
        <v>0</v>
      </c>
      <c r="CV45">
        <f t="shared" si="42"/>
        <v>179.8</v>
      </c>
      <c r="CW45">
        <f t="shared" si="43"/>
        <v>45.63</v>
      </c>
      <c r="CX45">
        <f t="shared" si="44"/>
        <v>0</v>
      </c>
      <c r="CY45">
        <f t="shared" si="45"/>
        <v>24287.249199999998</v>
      </c>
      <c r="CZ45">
        <f t="shared" si="46"/>
        <v>14483.221999999998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102</v>
      </c>
      <c r="DW45" t="s">
        <v>102</v>
      </c>
      <c r="DX45">
        <v>100</v>
      </c>
      <c r="EE45">
        <v>502286020</v>
      </c>
      <c r="EF45">
        <v>2</v>
      </c>
      <c r="EG45" t="s">
        <v>65</v>
      </c>
      <c r="EH45">
        <v>0</v>
      </c>
      <c r="EJ45">
        <v>1</v>
      </c>
      <c r="EK45">
        <v>27001</v>
      </c>
      <c r="EL45" t="s">
        <v>85</v>
      </c>
      <c r="EM45" t="s">
        <v>86</v>
      </c>
      <c r="EQ45">
        <v>0</v>
      </c>
      <c r="ER45">
        <v>3872.04</v>
      </c>
      <c r="ES45">
        <v>0</v>
      </c>
      <c r="ET45">
        <v>2377.9</v>
      </c>
      <c r="EU45">
        <v>464.51</v>
      </c>
      <c r="EV45">
        <v>1494.14</v>
      </c>
      <c r="EW45">
        <v>179.8</v>
      </c>
      <c r="EX45">
        <v>45.63</v>
      </c>
      <c r="EY45">
        <v>0</v>
      </c>
      <c r="FQ45">
        <v>0</v>
      </c>
      <c r="FR45">
        <f t="shared" si="47"/>
        <v>0</v>
      </c>
      <c r="FS45">
        <v>0</v>
      </c>
      <c r="FT45" t="s">
        <v>69</v>
      </c>
      <c r="FU45" t="s">
        <v>70</v>
      </c>
      <c r="FV45" t="s">
        <v>70</v>
      </c>
      <c r="FW45" t="s">
        <v>71</v>
      </c>
      <c r="FX45">
        <v>127.8</v>
      </c>
      <c r="FY45">
        <v>80.75</v>
      </c>
      <c r="GD45">
        <v>0</v>
      </c>
      <c r="GF45">
        <v>-494168187</v>
      </c>
      <c r="GG45">
        <v>2</v>
      </c>
      <c r="GH45">
        <v>1</v>
      </c>
      <c r="GI45">
        <v>2</v>
      </c>
      <c r="GJ45">
        <v>0</v>
      </c>
      <c r="GK45">
        <f>ROUND(R45*(R12)/100,2)</f>
        <v>0</v>
      </c>
      <c r="GL45">
        <f t="shared" si="48"/>
        <v>0</v>
      </c>
      <c r="GM45">
        <f t="shared" si="49"/>
        <v>69359.34</v>
      </c>
      <c r="GN45">
        <f t="shared" si="50"/>
        <v>69359.34</v>
      </c>
      <c r="GO45">
        <f t="shared" si="51"/>
        <v>0</v>
      </c>
      <c r="GP45">
        <f t="shared" si="52"/>
        <v>0</v>
      </c>
      <c r="GR45">
        <v>0</v>
      </c>
      <c r="GS45">
        <v>3</v>
      </c>
      <c r="GT45">
        <v>0</v>
      </c>
      <c r="GV45">
        <f t="shared" si="53"/>
        <v>0</v>
      </c>
      <c r="GW45">
        <v>1</v>
      </c>
      <c r="GX45">
        <f t="shared" si="54"/>
        <v>0</v>
      </c>
      <c r="HA45">
        <v>0</v>
      </c>
      <c r="HB45">
        <v>0</v>
      </c>
      <c r="IK45">
        <v>0</v>
      </c>
    </row>
    <row r="46" spans="1:245" x14ac:dyDescent="0.35">
      <c r="A46">
        <v>17</v>
      </c>
      <c r="B46">
        <v>1</v>
      </c>
      <c r="C46">
        <f>ROW(SmtRes!A95)</f>
        <v>95</v>
      </c>
      <c r="D46">
        <f>ROW(EtalonRes!A95)</f>
        <v>95</v>
      </c>
      <c r="E46" t="s">
        <v>134</v>
      </c>
      <c r="F46" t="s">
        <v>105</v>
      </c>
      <c r="G46" t="s">
        <v>106</v>
      </c>
      <c r="H46" t="s">
        <v>107</v>
      </c>
      <c r="I46">
        <f>ROUND((17.7)/100,9)</f>
        <v>0.17699999999999999</v>
      </c>
      <c r="J46">
        <v>0</v>
      </c>
      <c r="O46">
        <f t="shared" si="21"/>
        <v>3333.53</v>
      </c>
      <c r="P46">
        <f t="shared" si="22"/>
        <v>14.68</v>
      </c>
      <c r="Q46">
        <f t="shared" si="23"/>
        <v>2684.5</v>
      </c>
      <c r="R46">
        <f t="shared" si="24"/>
        <v>970.96</v>
      </c>
      <c r="S46">
        <f t="shared" si="25"/>
        <v>634.35</v>
      </c>
      <c r="T46">
        <f t="shared" si="26"/>
        <v>0</v>
      </c>
      <c r="U46">
        <f t="shared" si="27"/>
        <v>3.1998059999999997</v>
      </c>
      <c r="V46">
        <f t="shared" si="28"/>
        <v>3.0709500000000003</v>
      </c>
      <c r="W46">
        <f t="shared" si="29"/>
        <v>0</v>
      </c>
      <c r="X46">
        <f t="shared" si="30"/>
        <v>1749.79</v>
      </c>
      <c r="Y46">
        <f t="shared" si="31"/>
        <v>1043.45</v>
      </c>
      <c r="AA46">
        <v>502564877</v>
      </c>
      <c r="AB46">
        <f t="shared" si="32"/>
        <v>2889.9180000000001</v>
      </c>
      <c r="AC46">
        <f t="shared" si="33"/>
        <v>12.2</v>
      </c>
      <c r="AD46">
        <f>ROUND(((((ET46*1.25))-((EU46*1.25)))+AE46),6)</f>
        <v>2732.7375000000002</v>
      </c>
      <c r="AE46">
        <f>ROUND(((EU46*1.25)),6)</f>
        <v>221.91249999999999</v>
      </c>
      <c r="AF46">
        <f>ROUND(((EV46*1.15)),6)</f>
        <v>144.98050000000001</v>
      </c>
      <c r="AG46">
        <f t="shared" si="34"/>
        <v>0</v>
      </c>
      <c r="AH46">
        <f>((EW46*1.15))</f>
        <v>18.077999999999999</v>
      </c>
      <c r="AI46">
        <f>((EX46*1.25))</f>
        <v>17.350000000000001</v>
      </c>
      <c r="AJ46">
        <f t="shared" si="35"/>
        <v>0</v>
      </c>
      <c r="AK46">
        <v>2324.46</v>
      </c>
      <c r="AL46">
        <v>12.2</v>
      </c>
      <c r="AM46">
        <v>2186.19</v>
      </c>
      <c r="AN46">
        <v>177.53</v>
      </c>
      <c r="AO46">
        <v>126.07</v>
      </c>
      <c r="AP46">
        <v>0</v>
      </c>
      <c r="AQ46">
        <v>15.72</v>
      </c>
      <c r="AR46">
        <v>13.88</v>
      </c>
      <c r="AS46">
        <v>0</v>
      </c>
      <c r="AT46">
        <v>109</v>
      </c>
      <c r="AU46">
        <v>65</v>
      </c>
      <c r="AV46">
        <v>1</v>
      </c>
      <c r="AW46">
        <v>1</v>
      </c>
      <c r="AZ46">
        <v>1</v>
      </c>
      <c r="BA46">
        <v>24.72</v>
      </c>
      <c r="BB46">
        <v>5.55</v>
      </c>
      <c r="BC46">
        <v>6.8</v>
      </c>
      <c r="BH46">
        <v>0</v>
      </c>
      <c r="BI46">
        <v>1</v>
      </c>
      <c r="BJ46" t="s">
        <v>108</v>
      </c>
      <c r="BM46">
        <v>27001</v>
      </c>
      <c r="BN46">
        <v>0</v>
      </c>
      <c r="BO46" t="s">
        <v>105</v>
      </c>
      <c r="BP46">
        <v>1</v>
      </c>
      <c r="BQ46">
        <v>2</v>
      </c>
      <c r="BR46">
        <v>0</v>
      </c>
      <c r="BS46">
        <v>24.72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142</v>
      </c>
      <c r="CA46">
        <v>95</v>
      </c>
      <c r="CF46">
        <v>0</v>
      </c>
      <c r="CG46">
        <v>0</v>
      </c>
      <c r="CM46">
        <v>0</v>
      </c>
      <c r="CN46" t="s">
        <v>62</v>
      </c>
      <c r="CO46">
        <v>0</v>
      </c>
      <c r="CP46">
        <f t="shared" si="36"/>
        <v>3333.5299999999997</v>
      </c>
      <c r="CQ46">
        <f t="shared" si="37"/>
        <v>82.96</v>
      </c>
      <c r="CR46">
        <f t="shared" si="38"/>
        <v>15166.693125</v>
      </c>
      <c r="CS46">
        <f t="shared" si="39"/>
        <v>5485.6769999999997</v>
      </c>
      <c r="CT46">
        <f t="shared" si="40"/>
        <v>3583.9179599999998</v>
      </c>
      <c r="CU46">
        <f t="shared" si="41"/>
        <v>0</v>
      </c>
      <c r="CV46">
        <f t="shared" si="42"/>
        <v>18.077999999999999</v>
      </c>
      <c r="CW46">
        <f t="shared" si="43"/>
        <v>17.350000000000001</v>
      </c>
      <c r="CX46">
        <f t="shared" si="44"/>
        <v>0</v>
      </c>
      <c r="CY46">
        <f t="shared" si="45"/>
        <v>1749.7879</v>
      </c>
      <c r="CZ46">
        <f t="shared" si="46"/>
        <v>1043.4514999999999</v>
      </c>
      <c r="DE46" t="s">
        <v>63</v>
      </c>
      <c r="DF46" t="s">
        <v>63</v>
      </c>
      <c r="DG46" t="s">
        <v>64</v>
      </c>
      <c r="DI46" t="s">
        <v>64</v>
      </c>
      <c r="DJ46" t="s">
        <v>63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107</v>
      </c>
      <c r="DW46" t="s">
        <v>107</v>
      </c>
      <c r="DX46">
        <v>1</v>
      </c>
      <c r="EE46">
        <v>502286020</v>
      </c>
      <c r="EF46">
        <v>2</v>
      </c>
      <c r="EG46" t="s">
        <v>65</v>
      </c>
      <c r="EH46">
        <v>0</v>
      </c>
      <c r="EJ46">
        <v>1</v>
      </c>
      <c r="EK46">
        <v>27001</v>
      </c>
      <c r="EL46" t="s">
        <v>85</v>
      </c>
      <c r="EM46" t="s">
        <v>86</v>
      </c>
      <c r="EO46" t="s">
        <v>68</v>
      </c>
      <c r="EQ46">
        <v>0</v>
      </c>
      <c r="ER46">
        <v>2324.46</v>
      </c>
      <c r="ES46">
        <v>12.2</v>
      </c>
      <c r="ET46">
        <v>2186.19</v>
      </c>
      <c r="EU46">
        <v>177.53</v>
      </c>
      <c r="EV46">
        <v>126.07</v>
      </c>
      <c r="EW46">
        <v>15.72</v>
      </c>
      <c r="EX46">
        <v>13.88</v>
      </c>
      <c r="EY46">
        <v>0</v>
      </c>
      <c r="FQ46">
        <v>0</v>
      </c>
      <c r="FR46">
        <f t="shared" si="47"/>
        <v>0</v>
      </c>
      <c r="FS46">
        <v>0</v>
      </c>
      <c r="FT46" t="s">
        <v>69</v>
      </c>
      <c r="FU46" t="s">
        <v>70</v>
      </c>
      <c r="FV46" t="s">
        <v>70</v>
      </c>
      <c r="FW46" t="s">
        <v>71</v>
      </c>
      <c r="FX46">
        <v>127.8</v>
      </c>
      <c r="FY46">
        <v>80.75</v>
      </c>
      <c r="GD46">
        <v>0</v>
      </c>
      <c r="GF46">
        <v>1915782475</v>
      </c>
      <c r="GG46">
        <v>2</v>
      </c>
      <c r="GH46">
        <v>1</v>
      </c>
      <c r="GI46">
        <v>2</v>
      </c>
      <c r="GJ46">
        <v>0</v>
      </c>
      <c r="GK46">
        <f>ROUND(R46*(R12)/100,2)</f>
        <v>0</v>
      </c>
      <c r="GL46">
        <f t="shared" si="48"/>
        <v>0</v>
      </c>
      <c r="GM46">
        <f t="shared" si="49"/>
        <v>6126.77</v>
      </c>
      <c r="GN46">
        <f t="shared" si="50"/>
        <v>6126.77</v>
      </c>
      <c r="GO46">
        <f t="shared" si="51"/>
        <v>0</v>
      </c>
      <c r="GP46">
        <f t="shared" si="52"/>
        <v>0</v>
      </c>
      <c r="GR46">
        <v>0</v>
      </c>
      <c r="GS46">
        <v>3</v>
      </c>
      <c r="GT46">
        <v>0</v>
      </c>
      <c r="GV46">
        <f t="shared" si="53"/>
        <v>0</v>
      </c>
      <c r="GW46">
        <v>1</v>
      </c>
      <c r="GX46">
        <f t="shared" si="54"/>
        <v>0</v>
      </c>
      <c r="HA46">
        <v>0</v>
      </c>
      <c r="HB46">
        <v>0</v>
      </c>
      <c r="IK46">
        <v>0</v>
      </c>
    </row>
    <row r="47" spans="1:245" x14ac:dyDescent="0.35">
      <c r="A47">
        <v>18</v>
      </c>
      <c r="B47">
        <v>1</v>
      </c>
      <c r="C47">
        <v>94</v>
      </c>
      <c r="E47" t="s">
        <v>135</v>
      </c>
      <c r="F47" t="s">
        <v>110</v>
      </c>
      <c r="G47" t="s">
        <v>111</v>
      </c>
      <c r="H47" t="s">
        <v>112</v>
      </c>
      <c r="I47">
        <f>I46*J47</f>
        <v>19.47</v>
      </c>
      <c r="J47">
        <v>110</v>
      </c>
      <c r="O47">
        <f t="shared" si="21"/>
        <v>8424.39</v>
      </c>
      <c r="P47">
        <f t="shared" si="22"/>
        <v>8424.39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563.46</v>
      </c>
      <c r="X47">
        <f t="shared" si="30"/>
        <v>0</v>
      </c>
      <c r="Y47">
        <f t="shared" si="31"/>
        <v>0</v>
      </c>
      <c r="AA47">
        <v>502564877</v>
      </c>
      <c r="AB47">
        <f t="shared" si="32"/>
        <v>55.26</v>
      </c>
      <c r="AC47">
        <f t="shared" si="33"/>
        <v>55.26</v>
      </c>
      <c r="AD47">
        <f>ROUND((((ET47)-(EU47))+AE47),6)</f>
        <v>0</v>
      </c>
      <c r="AE47">
        <f>ROUND((EU47),6)</f>
        <v>0</v>
      </c>
      <c r="AF47">
        <f>ROUND((EV47),6)</f>
        <v>0</v>
      </c>
      <c r="AG47">
        <f t="shared" si="34"/>
        <v>0</v>
      </c>
      <c r="AH47">
        <f>(EW47)</f>
        <v>0</v>
      </c>
      <c r="AI47">
        <f>(EX47)</f>
        <v>0</v>
      </c>
      <c r="AJ47">
        <f t="shared" si="35"/>
        <v>28.94</v>
      </c>
      <c r="AK47">
        <v>55.26</v>
      </c>
      <c r="AL47">
        <v>55.26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28.94</v>
      </c>
      <c r="AT47">
        <v>109</v>
      </c>
      <c r="AU47">
        <v>65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7.83</v>
      </c>
      <c r="BH47">
        <v>3</v>
      </c>
      <c r="BI47">
        <v>1</v>
      </c>
      <c r="BJ47" t="s">
        <v>113</v>
      </c>
      <c r="BM47">
        <v>27001</v>
      </c>
      <c r="BN47">
        <v>0</v>
      </c>
      <c r="BO47" t="s">
        <v>110</v>
      </c>
      <c r="BP47">
        <v>1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142</v>
      </c>
      <c r="CA47">
        <v>95</v>
      </c>
      <c r="CF47">
        <v>0</v>
      </c>
      <c r="CG47">
        <v>0</v>
      </c>
      <c r="CM47">
        <v>0</v>
      </c>
      <c r="CO47">
        <v>0</v>
      </c>
      <c r="CP47">
        <f t="shared" si="36"/>
        <v>8424.39</v>
      </c>
      <c r="CQ47">
        <f t="shared" si="37"/>
        <v>432.68579999999997</v>
      </c>
      <c r="CR47">
        <f t="shared" si="38"/>
        <v>0</v>
      </c>
      <c r="CS47">
        <f t="shared" si="39"/>
        <v>0</v>
      </c>
      <c r="CT47">
        <f t="shared" si="40"/>
        <v>0</v>
      </c>
      <c r="CU47">
        <f t="shared" si="41"/>
        <v>0</v>
      </c>
      <c r="CV47">
        <f t="shared" si="42"/>
        <v>0</v>
      </c>
      <c r="CW47">
        <f t="shared" si="43"/>
        <v>0</v>
      </c>
      <c r="CX47">
        <f t="shared" si="44"/>
        <v>28.94</v>
      </c>
      <c r="CY47">
        <f t="shared" si="45"/>
        <v>0</v>
      </c>
      <c r="CZ47">
        <f t="shared" si="46"/>
        <v>0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112</v>
      </c>
      <c r="DW47" t="s">
        <v>112</v>
      </c>
      <c r="DX47">
        <v>1</v>
      </c>
      <c r="EE47">
        <v>502286020</v>
      </c>
      <c r="EF47">
        <v>2</v>
      </c>
      <c r="EG47" t="s">
        <v>65</v>
      </c>
      <c r="EH47">
        <v>0</v>
      </c>
      <c r="EJ47">
        <v>1</v>
      </c>
      <c r="EK47">
        <v>27001</v>
      </c>
      <c r="EL47" t="s">
        <v>85</v>
      </c>
      <c r="EM47" t="s">
        <v>86</v>
      </c>
      <c r="EQ47">
        <v>0</v>
      </c>
      <c r="ER47">
        <v>55.26</v>
      </c>
      <c r="ES47">
        <v>55.26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7"/>
        <v>0</v>
      </c>
      <c r="FS47">
        <v>0</v>
      </c>
      <c r="FT47" t="s">
        <v>69</v>
      </c>
      <c r="FU47" t="s">
        <v>70</v>
      </c>
      <c r="FV47" t="s">
        <v>70</v>
      </c>
      <c r="FW47" t="s">
        <v>71</v>
      </c>
      <c r="FX47">
        <v>127.8</v>
      </c>
      <c r="FY47">
        <v>80.75</v>
      </c>
      <c r="GD47">
        <v>0</v>
      </c>
      <c r="GF47">
        <v>-1147251145</v>
      </c>
      <c r="GG47">
        <v>2</v>
      </c>
      <c r="GH47">
        <v>1</v>
      </c>
      <c r="GI47">
        <v>2</v>
      </c>
      <c r="GJ47">
        <v>0</v>
      </c>
      <c r="GK47">
        <f>ROUND(R47*(R12)/100,2)</f>
        <v>0</v>
      </c>
      <c r="GL47">
        <f t="shared" si="48"/>
        <v>0</v>
      </c>
      <c r="GM47">
        <f t="shared" si="49"/>
        <v>8424.39</v>
      </c>
      <c r="GN47">
        <f t="shared" si="50"/>
        <v>8424.39</v>
      </c>
      <c r="GO47">
        <f t="shared" si="51"/>
        <v>0</v>
      </c>
      <c r="GP47">
        <f t="shared" si="52"/>
        <v>0</v>
      </c>
      <c r="GR47">
        <v>0</v>
      </c>
      <c r="GS47">
        <v>3</v>
      </c>
      <c r="GT47">
        <v>0</v>
      </c>
      <c r="GV47">
        <f t="shared" si="53"/>
        <v>0</v>
      </c>
      <c r="GW47">
        <v>1</v>
      </c>
      <c r="GX47">
        <f t="shared" si="54"/>
        <v>0</v>
      </c>
      <c r="HA47">
        <v>0</v>
      </c>
      <c r="HB47">
        <v>0</v>
      </c>
      <c r="IK47">
        <v>0</v>
      </c>
    </row>
    <row r="48" spans="1:245" x14ac:dyDescent="0.35">
      <c r="A48">
        <v>17</v>
      </c>
      <c r="B48">
        <v>1</v>
      </c>
      <c r="C48">
        <f>ROW(SmtRes!A104)</f>
        <v>104</v>
      </c>
      <c r="D48">
        <f>ROW(EtalonRes!A104)</f>
        <v>104</v>
      </c>
      <c r="E48" t="s">
        <v>136</v>
      </c>
      <c r="F48" t="s">
        <v>115</v>
      </c>
      <c r="G48" t="s">
        <v>116</v>
      </c>
      <c r="H48" t="s">
        <v>107</v>
      </c>
      <c r="I48">
        <f>ROUND((13.3)/100,9)</f>
        <v>0.13300000000000001</v>
      </c>
      <c r="J48">
        <v>0</v>
      </c>
      <c r="O48">
        <f t="shared" si="21"/>
        <v>3866.41</v>
      </c>
      <c r="P48">
        <f t="shared" si="22"/>
        <v>15.45</v>
      </c>
      <c r="Q48">
        <f t="shared" si="23"/>
        <v>3111.03</v>
      </c>
      <c r="R48">
        <f t="shared" si="24"/>
        <v>1145.46</v>
      </c>
      <c r="S48">
        <f t="shared" si="25"/>
        <v>739.93</v>
      </c>
      <c r="T48">
        <f t="shared" si="26"/>
        <v>0</v>
      </c>
      <c r="U48">
        <f t="shared" si="27"/>
        <v>3.6998605000000002</v>
      </c>
      <c r="V48">
        <f t="shared" si="28"/>
        <v>3.4247500000000004</v>
      </c>
      <c r="W48">
        <f t="shared" si="29"/>
        <v>0</v>
      </c>
      <c r="X48">
        <f t="shared" si="30"/>
        <v>2055.08</v>
      </c>
      <c r="Y48">
        <f t="shared" si="31"/>
        <v>1225.5</v>
      </c>
      <c r="AA48">
        <v>502564877</v>
      </c>
      <c r="AB48">
        <f t="shared" si="32"/>
        <v>4449.1850000000004</v>
      </c>
      <c r="AC48">
        <f t="shared" si="33"/>
        <v>17.079999999999998</v>
      </c>
      <c r="AD48">
        <f>ROUND(((((ET48*1.25))-((EU48*1.25)))+AE48),6)</f>
        <v>4207.05</v>
      </c>
      <c r="AE48">
        <f>ROUND(((EU48*1.25)),6)</f>
        <v>348.4</v>
      </c>
      <c r="AF48">
        <f>ROUND(((EV48*1.15)),6)</f>
        <v>225.05500000000001</v>
      </c>
      <c r="AG48">
        <f t="shared" si="34"/>
        <v>0</v>
      </c>
      <c r="AH48">
        <f>((EW48*1.15))</f>
        <v>27.8185</v>
      </c>
      <c r="AI48">
        <f>((EX48*1.25))</f>
        <v>25.75</v>
      </c>
      <c r="AJ48">
        <f t="shared" si="35"/>
        <v>0</v>
      </c>
      <c r="AK48">
        <v>3578.42</v>
      </c>
      <c r="AL48">
        <v>17.079999999999998</v>
      </c>
      <c r="AM48">
        <v>3365.64</v>
      </c>
      <c r="AN48">
        <v>278.72000000000003</v>
      </c>
      <c r="AO48">
        <v>195.7</v>
      </c>
      <c r="AP48">
        <v>0</v>
      </c>
      <c r="AQ48">
        <v>24.19</v>
      </c>
      <c r="AR48">
        <v>20.6</v>
      </c>
      <c r="AS48">
        <v>0</v>
      </c>
      <c r="AT48">
        <v>109</v>
      </c>
      <c r="AU48">
        <v>65</v>
      </c>
      <c r="AV48">
        <v>1</v>
      </c>
      <c r="AW48">
        <v>1</v>
      </c>
      <c r="AZ48">
        <v>1</v>
      </c>
      <c r="BA48">
        <v>24.72</v>
      </c>
      <c r="BB48">
        <v>5.56</v>
      </c>
      <c r="BC48">
        <v>6.8</v>
      </c>
      <c r="BH48">
        <v>0</v>
      </c>
      <c r="BI48">
        <v>1</v>
      </c>
      <c r="BJ48" t="s">
        <v>117</v>
      </c>
      <c r="BM48">
        <v>27001</v>
      </c>
      <c r="BN48">
        <v>0</v>
      </c>
      <c r="BO48" t="s">
        <v>115</v>
      </c>
      <c r="BP48">
        <v>1</v>
      </c>
      <c r="BQ48">
        <v>2</v>
      </c>
      <c r="BR48">
        <v>0</v>
      </c>
      <c r="BS48">
        <v>24.72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142</v>
      </c>
      <c r="CA48">
        <v>95</v>
      </c>
      <c r="CF48">
        <v>0</v>
      </c>
      <c r="CG48">
        <v>0</v>
      </c>
      <c r="CM48">
        <v>0</v>
      </c>
      <c r="CN48" t="s">
        <v>62</v>
      </c>
      <c r="CO48">
        <v>0</v>
      </c>
      <c r="CP48">
        <f t="shared" si="36"/>
        <v>3866.41</v>
      </c>
      <c r="CQ48">
        <f t="shared" si="37"/>
        <v>116.14399999999999</v>
      </c>
      <c r="CR48">
        <f t="shared" si="38"/>
        <v>23391.198</v>
      </c>
      <c r="CS48">
        <f t="shared" si="39"/>
        <v>8612.4479999999985</v>
      </c>
      <c r="CT48">
        <f t="shared" si="40"/>
        <v>5563.3595999999998</v>
      </c>
      <c r="CU48">
        <f t="shared" si="41"/>
        <v>0</v>
      </c>
      <c r="CV48">
        <f t="shared" si="42"/>
        <v>27.8185</v>
      </c>
      <c r="CW48">
        <f t="shared" si="43"/>
        <v>25.75</v>
      </c>
      <c r="CX48">
        <f t="shared" si="44"/>
        <v>0</v>
      </c>
      <c r="CY48">
        <f t="shared" si="45"/>
        <v>2055.0751</v>
      </c>
      <c r="CZ48">
        <f t="shared" si="46"/>
        <v>1225.5034999999998</v>
      </c>
      <c r="DE48" t="s">
        <v>63</v>
      </c>
      <c r="DF48" t="s">
        <v>63</v>
      </c>
      <c r="DG48" t="s">
        <v>64</v>
      </c>
      <c r="DI48" t="s">
        <v>64</v>
      </c>
      <c r="DJ48" t="s">
        <v>63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107</v>
      </c>
      <c r="DW48" t="s">
        <v>107</v>
      </c>
      <c r="DX48">
        <v>1</v>
      </c>
      <c r="EE48">
        <v>502286020</v>
      </c>
      <c r="EF48">
        <v>2</v>
      </c>
      <c r="EG48" t="s">
        <v>65</v>
      </c>
      <c r="EH48">
        <v>0</v>
      </c>
      <c r="EJ48">
        <v>1</v>
      </c>
      <c r="EK48">
        <v>27001</v>
      </c>
      <c r="EL48" t="s">
        <v>85</v>
      </c>
      <c r="EM48" t="s">
        <v>86</v>
      </c>
      <c r="EO48" t="s">
        <v>68</v>
      </c>
      <c r="EQ48">
        <v>0</v>
      </c>
      <c r="ER48">
        <v>3578.42</v>
      </c>
      <c r="ES48">
        <v>17.079999999999998</v>
      </c>
      <c r="ET48">
        <v>3365.64</v>
      </c>
      <c r="EU48">
        <v>278.72000000000003</v>
      </c>
      <c r="EV48">
        <v>195.7</v>
      </c>
      <c r="EW48">
        <v>24.19</v>
      </c>
      <c r="EX48">
        <v>20.6</v>
      </c>
      <c r="EY48">
        <v>0</v>
      </c>
      <c r="FQ48">
        <v>0</v>
      </c>
      <c r="FR48">
        <f t="shared" si="47"/>
        <v>0</v>
      </c>
      <c r="FS48">
        <v>0</v>
      </c>
      <c r="FT48" t="s">
        <v>69</v>
      </c>
      <c r="FU48" t="s">
        <v>70</v>
      </c>
      <c r="FV48" t="s">
        <v>70</v>
      </c>
      <c r="FW48" t="s">
        <v>71</v>
      </c>
      <c r="FX48">
        <v>127.8</v>
      </c>
      <c r="FY48">
        <v>80.75</v>
      </c>
      <c r="GD48">
        <v>0</v>
      </c>
      <c r="GF48">
        <v>-1270790807</v>
      </c>
      <c r="GG48">
        <v>2</v>
      </c>
      <c r="GH48">
        <v>1</v>
      </c>
      <c r="GI48">
        <v>2</v>
      </c>
      <c r="GJ48">
        <v>0</v>
      </c>
      <c r="GK48">
        <f>ROUND(R48*(R12)/100,2)</f>
        <v>0</v>
      </c>
      <c r="GL48">
        <f t="shared" si="48"/>
        <v>0</v>
      </c>
      <c r="GM48">
        <f t="shared" si="49"/>
        <v>7146.99</v>
      </c>
      <c r="GN48">
        <f t="shared" si="50"/>
        <v>7146.99</v>
      </c>
      <c r="GO48">
        <f t="shared" si="51"/>
        <v>0</v>
      </c>
      <c r="GP48">
        <f t="shared" si="52"/>
        <v>0</v>
      </c>
      <c r="GR48">
        <v>0</v>
      </c>
      <c r="GS48">
        <v>3</v>
      </c>
      <c r="GT48">
        <v>0</v>
      </c>
      <c r="GV48">
        <f t="shared" si="53"/>
        <v>0</v>
      </c>
      <c r="GW48">
        <v>1</v>
      </c>
      <c r="GX48">
        <f t="shared" si="54"/>
        <v>0</v>
      </c>
      <c r="HA48">
        <v>0</v>
      </c>
      <c r="HB48">
        <v>0</v>
      </c>
      <c r="IK48">
        <v>0</v>
      </c>
    </row>
    <row r="49" spans="1:245" x14ac:dyDescent="0.35">
      <c r="A49">
        <v>18</v>
      </c>
      <c r="B49">
        <v>1</v>
      </c>
      <c r="C49">
        <v>103</v>
      </c>
      <c r="E49" t="s">
        <v>137</v>
      </c>
      <c r="F49" t="s">
        <v>119</v>
      </c>
      <c r="G49" t="s">
        <v>120</v>
      </c>
      <c r="H49" t="s">
        <v>112</v>
      </c>
      <c r="I49">
        <f>I48*J49</f>
        <v>16.758000000000003</v>
      </c>
      <c r="J49">
        <v>126</v>
      </c>
      <c r="O49">
        <f t="shared" si="21"/>
        <v>22736.99</v>
      </c>
      <c r="P49">
        <f t="shared" si="22"/>
        <v>22736.99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517.15</v>
      </c>
      <c r="X49">
        <f t="shared" si="30"/>
        <v>0</v>
      </c>
      <c r="Y49">
        <f t="shared" si="31"/>
        <v>0</v>
      </c>
      <c r="AA49">
        <v>502564877</v>
      </c>
      <c r="AB49">
        <f t="shared" si="32"/>
        <v>118.6</v>
      </c>
      <c r="AC49">
        <f t="shared" si="33"/>
        <v>118.6</v>
      </c>
      <c r="AD49">
        <f>ROUND((((ET49)-(EU49))+AE49),6)</f>
        <v>0</v>
      </c>
      <c r="AE49">
        <f>ROUND((EU49),6)</f>
        <v>0</v>
      </c>
      <c r="AF49">
        <f>ROUND((EV49),6)</f>
        <v>0</v>
      </c>
      <c r="AG49">
        <f t="shared" si="34"/>
        <v>0</v>
      </c>
      <c r="AH49">
        <f>(EW49)</f>
        <v>0</v>
      </c>
      <c r="AI49">
        <f>(EX49)</f>
        <v>0</v>
      </c>
      <c r="AJ49">
        <f t="shared" si="35"/>
        <v>30.86</v>
      </c>
      <c r="AK49">
        <v>118.6</v>
      </c>
      <c r="AL49">
        <v>118.6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30.86</v>
      </c>
      <c r="AT49">
        <v>109</v>
      </c>
      <c r="AU49">
        <v>65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11.44</v>
      </c>
      <c r="BH49">
        <v>3</v>
      </c>
      <c r="BI49">
        <v>1</v>
      </c>
      <c r="BJ49" t="s">
        <v>121</v>
      </c>
      <c r="BM49">
        <v>27001</v>
      </c>
      <c r="BN49">
        <v>0</v>
      </c>
      <c r="BO49" t="s">
        <v>119</v>
      </c>
      <c r="BP49">
        <v>1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142</v>
      </c>
      <c r="CA49">
        <v>95</v>
      </c>
      <c r="CF49">
        <v>0</v>
      </c>
      <c r="CG49">
        <v>0</v>
      </c>
      <c r="CM49">
        <v>0</v>
      </c>
      <c r="CO49">
        <v>0</v>
      </c>
      <c r="CP49">
        <f t="shared" si="36"/>
        <v>22736.99</v>
      </c>
      <c r="CQ49">
        <f t="shared" si="37"/>
        <v>1356.7839999999999</v>
      </c>
      <c r="CR49">
        <f t="shared" si="38"/>
        <v>0</v>
      </c>
      <c r="CS49">
        <f t="shared" si="39"/>
        <v>0</v>
      </c>
      <c r="CT49">
        <f t="shared" si="40"/>
        <v>0</v>
      </c>
      <c r="CU49">
        <f t="shared" si="41"/>
        <v>0</v>
      </c>
      <c r="CV49">
        <f t="shared" si="42"/>
        <v>0</v>
      </c>
      <c r="CW49">
        <f t="shared" si="43"/>
        <v>0</v>
      </c>
      <c r="CX49">
        <f t="shared" si="44"/>
        <v>30.86</v>
      </c>
      <c r="CY49">
        <f t="shared" si="45"/>
        <v>0</v>
      </c>
      <c r="CZ49">
        <f t="shared" si="46"/>
        <v>0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112</v>
      </c>
      <c r="DW49" t="s">
        <v>112</v>
      </c>
      <c r="DX49">
        <v>1</v>
      </c>
      <c r="EE49">
        <v>502286020</v>
      </c>
      <c r="EF49">
        <v>2</v>
      </c>
      <c r="EG49" t="s">
        <v>65</v>
      </c>
      <c r="EH49">
        <v>0</v>
      </c>
      <c r="EJ49">
        <v>1</v>
      </c>
      <c r="EK49">
        <v>27001</v>
      </c>
      <c r="EL49" t="s">
        <v>85</v>
      </c>
      <c r="EM49" t="s">
        <v>86</v>
      </c>
      <c r="EQ49">
        <v>0</v>
      </c>
      <c r="ER49">
        <v>118.6</v>
      </c>
      <c r="ES49">
        <v>118.6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7"/>
        <v>0</v>
      </c>
      <c r="FS49">
        <v>0</v>
      </c>
      <c r="FT49" t="s">
        <v>69</v>
      </c>
      <c r="FU49" t="s">
        <v>70</v>
      </c>
      <c r="FV49" t="s">
        <v>70</v>
      </c>
      <c r="FW49" t="s">
        <v>71</v>
      </c>
      <c r="FX49">
        <v>127.8</v>
      </c>
      <c r="FY49">
        <v>80.75</v>
      </c>
      <c r="GD49">
        <v>0</v>
      </c>
      <c r="GF49">
        <v>214605657</v>
      </c>
      <c r="GG49">
        <v>2</v>
      </c>
      <c r="GH49">
        <v>1</v>
      </c>
      <c r="GI49">
        <v>2</v>
      </c>
      <c r="GJ49">
        <v>0</v>
      </c>
      <c r="GK49">
        <f>ROUND(R49*(R12)/100,2)</f>
        <v>0</v>
      </c>
      <c r="GL49">
        <f t="shared" si="48"/>
        <v>0</v>
      </c>
      <c r="GM49">
        <f t="shared" si="49"/>
        <v>22736.99</v>
      </c>
      <c r="GN49">
        <f t="shared" si="50"/>
        <v>22736.99</v>
      </c>
      <c r="GO49">
        <f t="shared" si="51"/>
        <v>0</v>
      </c>
      <c r="GP49">
        <f t="shared" si="52"/>
        <v>0</v>
      </c>
      <c r="GR49">
        <v>0</v>
      </c>
      <c r="GS49">
        <v>3</v>
      </c>
      <c r="GT49">
        <v>0</v>
      </c>
      <c r="GV49">
        <f t="shared" si="53"/>
        <v>0</v>
      </c>
      <c r="GW49">
        <v>1</v>
      </c>
      <c r="GX49">
        <f t="shared" si="54"/>
        <v>0</v>
      </c>
      <c r="HA49">
        <v>0</v>
      </c>
      <c r="HB49">
        <v>0</v>
      </c>
      <c r="IK49">
        <v>0</v>
      </c>
    </row>
    <row r="50" spans="1:245" x14ac:dyDescent="0.35">
      <c r="A50">
        <v>17</v>
      </c>
      <c r="B50">
        <v>1</v>
      </c>
      <c r="C50">
        <f>ROW(SmtRes!A116)</f>
        <v>116</v>
      </c>
      <c r="D50">
        <f>ROW(EtalonRes!A116)</f>
        <v>116</v>
      </c>
      <c r="E50" t="s">
        <v>138</v>
      </c>
      <c r="F50" t="s">
        <v>128</v>
      </c>
      <c r="G50" t="s">
        <v>129</v>
      </c>
      <c r="H50" t="s">
        <v>130</v>
      </c>
      <c r="I50">
        <f>ROUND((3*1.75*0.3*21)/100,9)</f>
        <v>0.33074999999999999</v>
      </c>
      <c r="J50">
        <v>0</v>
      </c>
      <c r="O50">
        <f t="shared" si="21"/>
        <v>62002.03</v>
      </c>
      <c r="P50">
        <f t="shared" si="22"/>
        <v>7356.82</v>
      </c>
      <c r="Q50">
        <f t="shared" si="23"/>
        <v>37088.65</v>
      </c>
      <c r="R50">
        <f t="shared" si="24"/>
        <v>11814.52</v>
      </c>
      <c r="S50">
        <f t="shared" si="25"/>
        <v>17556.560000000001</v>
      </c>
      <c r="T50">
        <f t="shared" si="26"/>
        <v>0</v>
      </c>
      <c r="U50">
        <f t="shared" si="27"/>
        <v>81.260644499999984</v>
      </c>
      <c r="V50">
        <f t="shared" si="28"/>
        <v>36.651234375000001</v>
      </c>
      <c r="W50">
        <f t="shared" si="29"/>
        <v>0</v>
      </c>
      <c r="X50">
        <f t="shared" si="30"/>
        <v>32014.48</v>
      </c>
      <c r="Y50">
        <f t="shared" si="31"/>
        <v>19091.2</v>
      </c>
      <c r="AA50">
        <v>502564877</v>
      </c>
      <c r="AB50">
        <f t="shared" si="32"/>
        <v>19691.499</v>
      </c>
      <c r="AC50">
        <f t="shared" si="33"/>
        <v>1728.27</v>
      </c>
      <c r="AD50">
        <f>ROUND(((((ET50*1.25))-((EU50*1.25)))+AE50),6)</f>
        <v>15815.9375</v>
      </c>
      <c r="AE50">
        <f>ROUND(((EU50*1.25)),6)</f>
        <v>1445</v>
      </c>
      <c r="AF50">
        <f>ROUND(((EV50*1.15)),6)</f>
        <v>2147.2914999999998</v>
      </c>
      <c r="AG50">
        <f t="shared" si="34"/>
        <v>0</v>
      </c>
      <c r="AH50">
        <f>((EW50*1.15))</f>
        <v>245.68599999999998</v>
      </c>
      <c r="AI50">
        <f>((EX50*1.25))</f>
        <v>110.8125</v>
      </c>
      <c r="AJ50">
        <f t="shared" si="35"/>
        <v>0</v>
      </c>
      <c r="AK50">
        <v>16248.23</v>
      </c>
      <c r="AL50">
        <v>1728.27</v>
      </c>
      <c r="AM50">
        <v>12652.75</v>
      </c>
      <c r="AN50">
        <v>1156</v>
      </c>
      <c r="AO50">
        <v>1867.21</v>
      </c>
      <c r="AP50">
        <v>0</v>
      </c>
      <c r="AQ50">
        <v>213.64</v>
      </c>
      <c r="AR50">
        <v>88.65</v>
      </c>
      <c r="AS50">
        <v>0</v>
      </c>
      <c r="AT50">
        <v>109</v>
      </c>
      <c r="AU50">
        <v>65</v>
      </c>
      <c r="AV50">
        <v>1</v>
      </c>
      <c r="AW50">
        <v>1</v>
      </c>
      <c r="AZ50">
        <v>1</v>
      </c>
      <c r="BA50">
        <v>24.72</v>
      </c>
      <c r="BB50">
        <v>7.09</v>
      </c>
      <c r="BC50">
        <v>12.87</v>
      </c>
      <c r="BH50">
        <v>0</v>
      </c>
      <c r="BI50">
        <v>1</v>
      </c>
      <c r="BJ50" t="s">
        <v>131</v>
      </c>
      <c r="BM50">
        <v>27001</v>
      </c>
      <c r="BN50">
        <v>0</v>
      </c>
      <c r="BO50" t="s">
        <v>128</v>
      </c>
      <c r="BP50">
        <v>1</v>
      </c>
      <c r="BQ50">
        <v>2</v>
      </c>
      <c r="BR50">
        <v>0</v>
      </c>
      <c r="BS50">
        <v>24.72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142</v>
      </c>
      <c r="CA50">
        <v>95</v>
      </c>
      <c r="CF50">
        <v>0</v>
      </c>
      <c r="CG50">
        <v>0</v>
      </c>
      <c r="CM50">
        <v>0</v>
      </c>
      <c r="CN50" t="s">
        <v>62</v>
      </c>
      <c r="CO50">
        <v>0</v>
      </c>
      <c r="CP50">
        <f t="shared" si="36"/>
        <v>62002.03</v>
      </c>
      <c r="CQ50">
        <f t="shared" si="37"/>
        <v>22242.834899999998</v>
      </c>
      <c r="CR50">
        <f t="shared" si="38"/>
        <v>112134.996875</v>
      </c>
      <c r="CS50">
        <f t="shared" si="39"/>
        <v>35720.400000000001</v>
      </c>
      <c r="CT50">
        <f t="shared" si="40"/>
        <v>53081.045879999991</v>
      </c>
      <c r="CU50">
        <f t="shared" si="41"/>
        <v>0</v>
      </c>
      <c r="CV50">
        <f t="shared" si="42"/>
        <v>245.68599999999998</v>
      </c>
      <c r="CW50">
        <f t="shared" si="43"/>
        <v>110.8125</v>
      </c>
      <c r="CX50">
        <f t="shared" si="44"/>
        <v>0</v>
      </c>
      <c r="CY50">
        <f t="shared" si="45"/>
        <v>32014.477200000001</v>
      </c>
      <c r="CZ50">
        <f t="shared" si="46"/>
        <v>19091.202000000001</v>
      </c>
      <c r="DE50" t="s">
        <v>63</v>
      </c>
      <c r="DF50" t="s">
        <v>63</v>
      </c>
      <c r="DG50" t="s">
        <v>64</v>
      </c>
      <c r="DI50" t="s">
        <v>64</v>
      </c>
      <c r="DJ50" t="s">
        <v>63</v>
      </c>
      <c r="DN50">
        <v>0</v>
      </c>
      <c r="DO50">
        <v>0</v>
      </c>
      <c r="DP50">
        <v>1</v>
      </c>
      <c r="DQ50">
        <v>1</v>
      </c>
      <c r="DU50">
        <v>1013</v>
      </c>
      <c r="DV50" t="s">
        <v>130</v>
      </c>
      <c r="DW50" t="s">
        <v>130</v>
      </c>
      <c r="DX50">
        <v>1</v>
      </c>
      <c r="EE50">
        <v>502286020</v>
      </c>
      <c r="EF50">
        <v>2</v>
      </c>
      <c r="EG50" t="s">
        <v>65</v>
      </c>
      <c r="EH50">
        <v>0</v>
      </c>
      <c r="EJ50">
        <v>1</v>
      </c>
      <c r="EK50">
        <v>27001</v>
      </c>
      <c r="EL50" t="s">
        <v>85</v>
      </c>
      <c r="EM50" t="s">
        <v>86</v>
      </c>
      <c r="EO50" t="s">
        <v>68</v>
      </c>
      <c r="EQ50">
        <v>0</v>
      </c>
      <c r="ER50">
        <v>16248.23</v>
      </c>
      <c r="ES50">
        <v>1728.27</v>
      </c>
      <c r="ET50">
        <v>12652.75</v>
      </c>
      <c r="EU50">
        <v>1156</v>
      </c>
      <c r="EV50">
        <v>1867.21</v>
      </c>
      <c r="EW50">
        <v>213.64</v>
      </c>
      <c r="EX50">
        <v>88.65</v>
      </c>
      <c r="EY50">
        <v>0</v>
      </c>
      <c r="FQ50">
        <v>0</v>
      </c>
      <c r="FR50">
        <f t="shared" si="47"/>
        <v>0</v>
      </c>
      <c r="FS50">
        <v>0</v>
      </c>
      <c r="FT50" t="s">
        <v>69</v>
      </c>
      <c r="FU50" t="s">
        <v>70</v>
      </c>
      <c r="FV50" t="s">
        <v>70</v>
      </c>
      <c r="FW50" t="s">
        <v>71</v>
      </c>
      <c r="FX50">
        <v>127.8</v>
      </c>
      <c r="FY50">
        <v>80.75</v>
      </c>
      <c r="GD50">
        <v>0</v>
      </c>
      <c r="GF50">
        <v>-1690418187</v>
      </c>
      <c r="GG50">
        <v>2</v>
      </c>
      <c r="GH50">
        <v>1</v>
      </c>
      <c r="GI50">
        <v>2</v>
      </c>
      <c r="GJ50">
        <v>0</v>
      </c>
      <c r="GK50">
        <f>ROUND(R50*(R12)/100,2)</f>
        <v>0</v>
      </c>
      <c r="GL50">
        <f t="shared" si="48"/>
        <v>0</v>
      </c>
      <c r="GM50">
        <f t="shared" si="49"/>
        <v>113107.71</v>
      </c>
      <c r="GN50">
        <f t="shared" si="50"/>
        <v>113107.71</v>
      </c>
      <c r="GO50">
        <f t="shared" si="51"/>
        <v>0</v>
      </c>
      <c r="GP50">
        <f t="shared" si="52"/>
        <v>0</v>
      </c>
      <c r="GR50">
        <v>0</v>
      </c>
      <c r="GS50">
        <v>3</v>
      </c>
      <c r="GT50">
        <v>0</v>
      </c>
      <c r="GV50">
        <f t="shared" si="53"/>
        <v>0</v>
      </c>
      <c r="GW50">
        <v>1</v>
      </c>
      <c r="GX50">
        <f t="shared" si="54"/>
        <v>0</v>
      </c>
      <c r="HA50">
        <v>0</v>
      </c>
      <c r="HB50">
        <v>0</v>
      </c>
      <c r="IK50">
        <v>0</v>
      </c>
    </row>
    <row r="51" spans="1:245" x14ac:dyDescent="0.35">
      <c r="A51">
        <v>18</v>
      </c>
      <c r="B51">
        <v>1</v>
      </c>
      <c r="C51">
        <v>116</v>
      </c>
      <c r="E51" t="s">
        <v>139</v>
      </c>
      <c r="F51" t="s">
        <v>95</v>
      </c>
      <c r="G51" t="s">
        <v>96</v>
      </c>
      <c r="H51" t="s">
        <v>97</v>
      </c>
      <c r="I51">
        <f>I50*J51</f>
        <v>21.000000000000004</v>
      </c>
      <c r="J51">
        <v>63.492063492063501</v>
      </c>
      <c r="O51">
        <f t="shared" si="21"/>
        <v>157151.54</v>
      </c>
      <c r="P51">
        <f t="shared" si="22"/>
        <v>157151.54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838.95</v>
      </c>
      <c r="X51">
        <f t="shared" si="30"/>
        <v>0</v>
      </c>
      <c r="Y51">
        <f t="shared" si="31"/>
        <v>0</v>
      </c>
      <c r="AA51">
        <v>502564877</v>
      </c>
      <c r="AB51">
        <f t="shared" si="32"/>
        <v>1358.15</v>
      </c>
      <c r="AC51">
        <f t="shared" si="33"/>
        <v>1358.15</v>
      </c>
      <c r="AD51">
        <f>ROUND((((ET51)-(EU51))+AE51),6)</f>
        <v>0</v>
      </c>
      <c r="AE51">
        <f>ROUND((EU51),6)</f>
        <v>0</v>
      </c>
      <c r="AF51">
        <f>ROUND((EV51),6)</f>
        <v>0</v>
      </c>
      <c r="AG51">
        <f t="shared" si="34"/>
        <v>0</v>
      </c>
      <c r="AH51">
        <f>(EW51)</f>
        <v>0</v>
      </c>
      <c r="AI51">
        <f>(EX51)</f>
        <v>0</v>
      </c>
      <c r="AJ51">
        <f t="shared" si="35"/>
        <v>39.950000000000003</v>
      </c>
      <c r="AK51">
        <v>1358.15</v>
      </c>
      <c r="AL51">
        <v>1358.15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39.950000000000003</v>
      </c>
      <c r="AT51">
        <v>109</v>
      </c>
      <c r="AU51">
        <v>65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5.51</v>
      </c>
      <c r="BH51">
        <v>3</v>
      </c>
      <c r="BI51">
        <v>1</v>
      </c>
      <c r="BJ51" t="s">
        <v>98</v>
      </c>
      <c r="BM51">
        <v>27001</v>
      </c>
      <c r="BN51">
        <v>0</v>
      </c>
      <c r="BO51" t="s">
        <v>95</v>
      </c>
      <c r="BP51">
        <v>1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142</v>
      </c>
      <c r="CA51">
        <v>95</v>
      </c>
      <c r="CF51">
        <v>0</v>
      </c>
      <c r="CG51">
        <v>0</v>
      </c>
      <c r="CM51">
        <v>0</v>
      </c>
      <c r="CO51">
        <v>0</v>
      </c>
      <c r="CP51">
        <f t="shared" si="36"/>
        <v>157151.54</v>
      </c>
      <c r="CQ51">
        <f t="shared" si="37"/>
        <v>7483.4065000000001</v>
      </c>
      <c r="CR51">
        <f t="shared" si="38"/>
        <v>0</v>
      </c>
      <c r="CS51">
        <f t="shared" si="39"/>
        <v>0</v>
      </c>
      <c r="CT51">
        <f t="shared" si="40"/>
        <v>0</v>
      </c>
      <c r="CU51">
        <f t="shared" si="41"/>
        <v>0</v>
      </c>
      <c r="CV51">
        <f t="shared" si="42"/>
        <v>0</v>
      </c>
      <c r="CW51">
        <f t="shared" si="43"/>
        <v>0</v>
      </c>
      <c r="CX51">
        <f t="shared" si="44"/>
        <v>39.950000000000003</v>
      </c>
      <c r="CY51">
        <f t="shared" si="45"/>
        <v>0</v>
      </c>
      <c r="CZ51">
        <f t="shared" si="46"/>
        <v>0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97</v>
      </c>
      <c r="DW51" t="s">
        <v>97</v>
      </c>
      <c r="DX51">
        <v>1</v>
      </c>
      <c r="EE51">
        <v>502286020</v>
      </c>
      <c r="EF51">
        <v>2</v>
      </c>
      <c r="EG51" t="s">
        <v>65</v>
      </c>
      <c r="EH51">
        <v>0</v>
      </c>
      <c r="EJ51">
        <v>1</v>
      </c>
      <c r="EK51">
        <v>27001</v>
      </c>
      <c r="EL51" t="s">
        <v>85</v>
      </c>
      <c r="EM51" t="s">
        <v>86</v>
      </c>
      <c r="EQ51">
        <v>0</v>
      </c>
      <c r="ER51">
        <v>1358.15</v>
      </c>
      <c r="ES51">
        <v>1358.15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7"/>
        <v>0</v>
      </c>
      <c r="FS51">
        <v>0</v>
      </c>
      <c r="FT51" t="s">
        <v>69</v>
      </c>
      <c r="FU51" t="s">
        <v>70</v>
      </c>
      <c r="FV51" t="s">
        <v>70</v>
      </c>
      <c r="FW51" t="s">
        <v>71</v>
      </c>
      <c r="FX51">
        <v>127.8</v>
      </c>
      <c r="FY51">
        <v>80.75</v>
      </c>
      <c r="GD51">
        <v>0</v>
      </c>
      <c r="GF51">
        <v>-1902898408</v>
      </c>
      <c r="GG51">
        <v>2</v>
      </c>
      <c r="GH51">
        <v>1</v>
      </c>
      <c r="GI51">
        <v>2</v>
      </c>
      <c r="GJ51">
        <v>0</v>
      </c>
      <c r="GK51">
        <f>ROUND(R51*(R12)/100,2)</f>
        <v>0</v>
      </c>
      <c r="GL51">
        <f t="shared" si="48"/>
        <v>0</v>
      </c>
      <c r="GM51">
        <f t="shared" si="49"/>
        <v>157151.54</v>
      </c>
      <c r="GN51">
        <f t="shared" si="50"/>
        <v>157151.54</v>
      </c>
      <c r="GO51">
        <f t="shared" si="51"/>
        <v>0</v>
      </c>
      <c r="GP51">
        <f t="shared" si="52"/>
        <v>0</v>
      </c>
      <c r="GR51">
        <v>0</v>
      </c>
      <c r="GS51">
        <v>3</v>
      </c>
      <c r="GT51">
        <v>0</v>
      </c>
      <c r="GV51">
        <f t="shared" si="53"/>
        <v>0</v>
      </c>
      <c r="GW51">
        <v>1</v>
      </c>
      <c r="GX51">
        <f t="shared" si="54"/>
        <v>0</v>
      </c>
      <c r="HA51">
        <v>0</v>
      </c>
      <c r="HB51">
        <v>0</v>
      </c>
      <c r="IK51">
        <v>0</v>
      </c>
    </row>
    <row r="52" spans="1:245" x14ac:dyDescent="0.35">
      <c r="A52">
        <v>17</v>
      </c>
      <c r="B52">
        <v>1</v>
      </c>
      <c r="C52">
        <f>ROW(SmtRes!A128)</f>
        <v>128</v>
      </c>
      <c r="D52">
        <f>ROW(EtalonRes!A128)</f>
        <v>128</v>
      </c>
      <c r="E52" t="s">
        <v>140</v>
      </c>
      <c r="F52" t="s">
        <v>128</v>
      </c>
      <c r="G52" t="s">
        <v>129</v>
      </c>
      <c r="H52" t="s">
        <v>130</v>
      </c>
      <c r="I52">
        <f>ROUND((3*1.2*0.3*7)/100,9)</f>
        <v>7.5600000000000001E-2</v>
      </c>
      <c r="J52">
        <v>0</v>
      </c>
      <c r="O52">
        <f t="shared" si="21"/>
        <v>14171.9</v>
      </c>
      <c r="P52">
        <f t="shared" si="22"/>
        <v>1681.56</v>
      </c>
      <c r="Q52">
        <f t="shared" si="23"/>
        <v>8477.41</v>
      </c>
      <c r="R52">
        <f t="shared" si="24"/>
        <v>2700.46</v>
      </c>
      <c r="S52">
        <f t="shared" si="25"/>
        <v>4012.93</v>
      </c>
      <c r="T52">
        <f t="shared" si="26"/>
        <v>0</v>
      </c>
      <c r="U52">
        <f t="shared" si="27"/>
        <v>18.573861599999997</v>
      </c>
      <c r="V52">
        <f t="shared" si="28"/>
        <v>8.3774250000000006</v>
      </c>
      <c r="W52">
        <f t="shared" si="29"/>
        <v>0</v>
      </c>
      <c r="X52">
        <f t="shared" si="30"/>
        <v>7317.6</v>
      </c>
      <c r="Y52">
        <f t="shared" si="31"/>
        <v>4363.7</v>
      </c>
      <c r="AA52">
        <v>502564877</v>
      </c>
      <c r="AB52">
        <f t="shared" si="32"/>
        <v>19691.499</v>
      </c>
      <c r="AC52">
        <f t="shared" si="33"/>
        <v>1728.27</v>
      </c>
      <c r="AD52">
        <f>ROUND(((((ET52*1.25))-((EU52*1.25)))+AE52),6)</f>
        <v>15815.9375</v>
      </c>
      <c r="AE52">
        <f>ROUND(((EU52*1.25)),6)</f>
        <v>1445</v>
      </c>
      <c r="AF52">
        <f>ROUND(((EV52*1.15)),6)</f>
        <v>2147.2914999999998</v>
      </c>
      <c r="AG52">
        <f t="shared" si="34"/>
        <v>0</v>
      </c>
      <c r="AH52">
        <f>((EW52*1.15))</f>
        <v>245.68599999999998</v>
      </c>
      <c r="AI52">
        <f>((EX52*1.25))</f>
        <v>110.8125</v>
      </c>
      <c r="AJ52">
        <f t="shared" si="35"/>
        <v>0</v>
      </c>
      <c r="AK52">
        <v>16248.23</v>
      </c>
      <c r="AL52">
        <v>1728.27</v>
      </c>
      <c r="AM52">
        <v>12652.75</v>
      </c>
      <c r="AN52">
        <v>1156</v>
      </c>
      <c r="AO52">
        <v>1867.21</v>
      </c>
      <c r="AP52">
        <v>0</v>
      </c>
      <c r="AQ52">
        <v>213.64</v>
      </c>
      <c r="AR52">
        <v>88.65</v>
      </c>
      <c r="AS52">
        <v>0</v>
      </c>
      <c r="AT52">
        <v>109</v>
      </c>
      <c r="AU52">
        <v>65</v>
      </c>
      <c r="AV52">
        <v>1</v>
      </c>
      <c r="AW52">
        <v>1</v>
      </c>
      <c r="AZ52">
        <v>1</v>
      </c>
      <c r="BA52">
        <v>24.72</v>
      </c>
      <c r="BB52">
        <v>7.09</v>
      </c>
      <c r="BC52">
        <v>12.87</v>
      </c>
      <c r="BH52">
        <v>0</v>
      </c>
      <c r="BI52">
        <v>1</v>
      </c>
      <c r="BJ52" t="s">
        <v>131</v>
      </c>
      <c r="BM52">
        <v>27001</v>
      </c>
      <c r="BN52">
        <v>0</v>
      </c>
      <c r="BO52" t="s">
        <v>128</v>
      </c>
      <c r="BP52">
        <v>1</v>
      </c>
      <c r="BQ52">
        <v>2</v>
      </c>
      <c r="BR52">
        <v>0</v>
      </c>
      <c r="BS52">
        <v>24.72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142</v>
      </c>
      <c r="CA52">
        <v>95</v>
      </c>
      <c r="CF52">
        <v>0</v>
      </c>
      <c r="CG52">
        <v>0</v>
      </c>
      <c r="CM52">
        <v>0</v>
      </c>
      <c r="CN52" t="s">
        <v>62</v>
      </c>
      <c r="CO52">
        <v>0</v>
      </c>
      <c r="CP52">
        <f t="shared" si="36"/>
        <v>14171.9</v>
      </c>
      <c r="CQ52">
        <f t="shared" si="37"/>
        <v>22242.834899999998</v>
      </c>
      <c r="CR52">
        <f t="shared" si="38"/>
        <v>112134.996875</v>
      </c>
      <c r="CS52">
        <f t="shared" si="39"/>
        <v>35720.400000000001</v>
      </c>
      <c r="CT52">
        <f t="shared" si="40"/>
        <v>53081.045879999991</v>
      </c>
      <c r="CU52">
        <f t="shared" si="41"/>
        <v>0</v>
      </c>
      <c r="CV52">
        <f t="shared" si="42"/>
        <v>245.68599999999998</v>
      </c>
      <c r="CW52">
        <f t="shared" si="43"/>
        <v>110.8125</v>
      </c>
      <c r="CX52">
        <f t="shared" si="44"/>
        <v>0</v>
      </c>
      <c r="CY52">
        <f t="shared" si="45"/>
        <v>7317.5950999999986</v>
      </c>
      <c r="CZ52">
        <f t="shared" si="46"/>
        <v>4363.7034999999996</v>
      </c>
      <c r="DE52" t="s">
        <v>63</v>
      </c>
      <c r="DF52" t="s">
        <v>63</v>
      </c>
      <c r="DG52" t="s">
        <v>64</v>
      </c>
      <c r="DI52" t="s">
        <v>64</v>
      </c>
      <c r="DJ52" t="s">
        <v>63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130</v>
      </c>
      <c r="DW52" t="s">
        <v>130</v>
      </c>
      <c r="DX52">
        <v>1</v>
      </c>
      <c r="EE52">
        <v>502286020</v>
      </c>
      <c r="EF52">
        <v>2</v>
      </c>
      <c r="EG52" t="s">
        <v>65</v>
      </c>
      <c r="EH52">
        <v>0</v>
      </c>
      <c r="EJ52">
        <v>1</v>
      </c>
      <c r="EK52">
        <v>27001</v>
      </c>
      <c r="EL52" t="s">
        <v>85</v>
      </c>
      <c r="EM52" t="s">
        <v>86</v>
      </c>
      <c r="EO52" t="s">
        <v>68</v>
      </c>
      <c r="EQ52">
        <v>0</v>
      </c>
      <c r="ER52">
        <v>16248.23</v>
      </c>
      <c r="ES52">
        <v>1728.27</v>
      </c>
      <c r="ET52">
        <v>12652.75</v>
      </c>
      <c r="EU52">
        <v>1156</v>
      </c>
      <c r="EV52">
        <v>1867.21</v>
      </c>
      <c r="EW52">
        <v>213.64</v>
      </c>
      <c r="EX52">
        <v>88.65</v>
      </c>
      <c r="EY52">
        <v>0</v>
      </c>
      <c r="FQ52">
        <v>0</v>
      </c>
      <c r="FR52">
        <f t="shared" si="47"/>
        <v>0</v>
      </c>
      <c r="FS52">
        <v>0</v>
      </c>
      <c r="FT52" t="s">
        <v>69</v>
      </c>
      <c r="FU52" t="s">
        <v>70</v>
      </c>
      <c r="FV52" t="s">
        <v>70</v>
      </c>
      <c r="FW52" t="s">
        <v>71</v>
      </c>
      <c r="FX52">
        <v>127.8</v>
      </c>
      <c r="FY52">
        <v>80.75</v>
      </c>
      <c r="GD52">
        <v>0</v>
      </c>
      <c r="GF52">
        <v>-1690418187</v>
      </c>
      <c r="GG52">
        <v>2</v>
      </c>
      <c r="GH52">
        <v>1</v>
      </c>
      <c r="GI52">
        <v>2</v>
      </c>
      <c r="GJ52">
        <v>0</v>
      </c>
      <c r="GK52">
        <f>ROUND(R52*(R12)/100,2)</f>
        <v>0</v>
      </c>
      <c r="GL52">
        <f t="shared" si="48"/>
        <v>0</v>
      </c>
      <c r="GM52">
        <f t="shared" si="49"/>
        <v>25853.200000000001</v>
      </c>
      <c r="GN52">
        <f t="shared" si="50"/>
        <v>25853.200000000001</v>
      </c>
      <c r="GO52">
        <f t="shared" si="51"/>
        <v>0</v>
      </c>
      <c r="GP52">
        <f t="shared" si="52"/>
        <v>0</v>
      </c>
      <c r="GR52">
        <v>0</v>
      </c>
      <c r="GS52">
        <v>3</v>
      </c>
      <c r="GT52">
        <v>0</v>
      </c>
      <c r="GV52">
        <f t="shared" si="53"/>
        <v>0</v>
      </c>
      <c r="GW52">
        <v>1</v>
      </c>
      <c r="GX52">
        <f t="shared" si="54"/>
        <v>0</v>
      </c>
      <c r="HA52">
        <v>0</v>
      </c>
      <c r="HB52">
        <v>0</v>
      </c>
      <c r="IK52">
        <v>0</v>
      </c>
    </row>
    <row r="53" spans="1:245" x14ac:dyDescent="0.35">
      <c r="A53">
        <v>18</v>
      </c>
      <c r="B53">
        <v>1</v>
      </c>
      <c r="C53">
        <v>128</v>
      </c>
      <c r="E53" t="s">
        <v>141</v>
      </c>
      <c r="F53" t="s">
        <v>142</v>
      </c>
      <c r="G53" t="s">
        <v>143</v>
      </c>
      <c r="H53" t="s">
        <v>97</v>
      </c>
      <c r="I53">
        <f>I52*J53</f>
        <v>7</v>
      </c>
      <c r="J53">
        <v>92.592592592592595</v>
      </c>
      <c r="O53">
        <f t="shared" si="21"/>
        <v>50019.1</v>
      </c>
      <c r="P53">
        <f t="shared" si="22"/>
        <v>50019.1</v>
      </c>
      <c r="Q53">
        <f t="shared" si="23"/>
        <v>0</v>
      </c>
      <c r="R53">
        <f t="shared" si="24"/>
        <v>0</v>
      </c>
      <c r="S53">
        <f t="shared" si="25"/>
        <v>0</v>
      </c>
      <c r="T53">
        <f t="shared" si="26"/>
        <v>0</v>
      </c>
      <c r="U53">
        <f t="shared" si="27"/>
        <v>0</v>
      </c>
      <c r="V53">
        <f t="shared" si="28"/>
        <v>0</v>
      </c>
      <c r="W53">
        <f t="shared" si="29"/>
        <v>279.64999999999998</v>
      </c>
      <c r="X53">
        <f t="shared" si="30"/>
        <v>0</v>
      </c>
      <c r="Y53">
        <f t="shared" si="31"/>
        <v>0</v>
      </c>
      <c r="AA53">
        <v>502564877</v>
      </c>
      <c r="AB53">
        <f t="shared" si="32"/>
        <v>1278.28</v>
      </c>
      <c r="AC53">
        <f t="shared" si="33"/>
        <v>1278.28</v>
      </c>
      <c r="AD53">
        <f>ROUND((((ET53)-(EU53))+AE53),6)</f>
        <v>0</v>
      </c>
      <c r="AE53">
        <f>ROUND((EU53),6)</f>
        <v>0</v>
      </c>
      <c r="AF53">
        <f>ROUND((EV53),6)</f>
        <v>0</v>
      </c>
      <c r="AG53">
        <f t="shared" si="34"/>
        <v>0</v>
      </c>
      <c r="AH53">
        <f>(EW53)</f>
        <v>0</v>
      </c>
      <c r="AI53">
        <f>(EX53)</f>
        <v>0</v>
      </c>
      <c r="AJ53">
        <f t="shared" si="35"/>
        <v>39.950000000000003</v>
      </c>
      <c r="AK53">
        <v>1278.28</v>
      </c>
      <c r="AL53">
        <v>1278.28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39.950000000000003</v>
      </c>
      <c r="AT53">
        <v>109</v>
      </c>
      <c r="AU53">
        <v>65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5.59</v>
      </c>
      <c r="BH53">
        <v>3</v>
      </c>
      <c r="BI53">
        <v>1</v>
      </c>
      <c r="BJ53" t="s">
        <v>144</v>
      </c>
      <c r="BM53">
        <v>27001</v>
      </c>
      <c r="BN53">
        <v>0</v>
      </c>
      <c r="BO53" t="s">
        <v>142</v>
      </c>
      <c r="BP53">
        <v>1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142</v>
      </c>
      <c r="CA53">
        <v>95</v>
      </c>
      <c r="CF53">
        <v>0</v>
      </c>
      <c r="CG53">
        <v>0</v>
      </c>
      <c r="CM53">
        <v>0</v>
      </c>
      <c r="CO53">
        <v>0</v>
      </c>
      <c r="CP53">
        <f t="shared" si="36"/>
        <v>50019.1</v>
      </c>
      <c r="CQ53">
        <f t="shared" si="37"/>
        <v>7145.5851999999995</v>
      </c>
      <c r="CR53">
        <f t="shared" si="38"/>
        <v>0</v>
      </c>
      <c r="CS53">
        <f t="shared" si="39"/>
        <v>0</v>
      </c>
      <c r="CT53">
        <f t="shared" si="40"/>
        <v>0</v>
      </c>
      <c r="CU53">
        <f t="shared" si="41"/>
        <v>0</v>
      </c>
      <c r="CV53">
        <f t="shared" si="42"/>
        <v>0</v>
      </c>
      <c r="CW53">
        <f t="shared" si="43"/>
        <v>0</v>
      </c>
      <c r="CX53">
        <f t="shared" si="44"/>
        <v>39.950000000000003</v>
      </c>
      <c r="CY53">
        <f t="shared" si="45"/>
        <v>0</v>
      </c>
      <c r="CZ53">
        <f t="shared" si="46"/>
        <v>0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97</v>
      </c>
      <c r="DW53" t="s">
        <v>97</v>
      </c>
      <c r="DX53">
        <v>1</v>
      </c>
      <c r="EE53">
        <v>502286020</v>
      </c>
      <c r="EF53">
        <v>2</v>
      </c>
      <c r="EG53" t="s">
        <v>65</v>
      </c>
      <c r="EH53">
        <v>0</v>
      </c>
      <c r="EJ53">
        <v>1</v>
      </c>
      <c r="EK53">
        <v>27001</v>
      </c>
      <c r="EL53" t="s">
        <v>85</v>
      </c>
      <c r="EM53" t="s">
        <v>86</v>
      </c>
      <c r="EQ53">
        <v>0</v>
      </c>
      <c r="ER53">
        <v>1278.28</v>
      </c>
      <c r="ES53">
        <v>1278.28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7"/>
        <v>0</v>
      </c>
      <c r="FS53">
        <v>0</v>
      </c>
      <c r="FT53" t="s">
        <v>69</v>
      </c>
      <c r="FU53" t="s">
        <v>70</v>
      </c>
      <c r="FV53" t="s">
        <v>70</v>
      </c>
      <c r="FW53" t="s">
        <v>71</v>
      </c>
      <c r="FX53">
        <v>127.8</v>
      </c>
      <c r="FY53">
        <v>80.75</v>
      </c>
      <c r="GD53">
        <v>0</v>
      </c>
      <c r="GF53">
        <v>-1988665555</v>
      </c>
      <c r="GG53">
        <v>2</v>
      </c>
      <c r="GH53">
        <v>1</v>
      </c>
      <c r="GI53">
        <v>2</v>
      </c>
      <c r="GJ53">
        <v>0</v>
      </c>
      <c r="GK53">
        <f>ROUND(R53*(R12)/100,2)</f>
        <v>0</v>
      </c>
      <c r="GL53">
        <f t="shared" si="48"/>
        <v>0</v>
      </c>
      <c r="GM53">
        <f t="shared" si="49"/>
        <v>50019.1</v>
      </c>
      <c r="GN53">
        <f t="shared" si="50"/>
        <v>50019.1</v>
      </c>
      <c r="GO53">
        <f t="shared" si="51"/>
        <v>0</v>
      </c>
      <c r="GP53">
        <f t="shared" si="52"/>
        <v>0</v>
      </c>
      <c r="GR53">
        <v>0</v>
      </c>
      <c r="GS53">
        <v>3</v>
      </c>
      <c r="GT53">
        <v>0</v>
      </c>
      <c r="GV53">
        <f t="shared" si="53"/>
        <v>0</v>
      </c>
      <c r="GW53">
        <v>1</v>
      </c>
      <c r="GX53">
        <f t="shared" si="54"/>
        <v>0</v>
      </c>
      <c r="HA53">
        <v>0</v>
      </c>
      <c r="HB53">
        <v>0</v>
      </c>
      <c r="IK53">
        <v>0</v>
      </c>
    </row>
    <row r="55" spans="1:245" x14ac:dyDescent="0.35">
      <c r="A55">
        <v>51</v>
      </c>
      <c r="B55">
        <f>B24</f>
        <v>1</v>
      </c>
      <c r="C55">
        <f>A24</f>
        <v>4</v>
      </c>
      <c r="D55">
        <f>ROW(A24)</f>
        <v>24</v>
      </c>
      <c r="F55" t="str">
        <f>IF(F24&lt;&gt;"",F24,"")</f>
        <v>Новый раздел</v>
      </c>
      <c r="G55" t="str">
        <f>IF(G24&lt;&gt;"",G24,"")</f>
        <v>Строительные работы</v>
      </c>
      <c r="H55">
        <v>0</v>
      </c>
      <c r="O55">
        <f t="shared" ref="O55:T55" si="55">ROUND(AB55,2)</f>
        <v>1599289.57</v>
      </c>
      <c r="P55">
        <f t="shared" si="55"/>
        <v>1090023.72</v>
      </c>
      <c r="Q55">
        <f t="shared" si="55"/>
        <v>326644.71999999997</v>
      </c>
      <c r="R55">
        <f t="shared" si="55"/>
        <v>96834.12</v>
      </c>
      <c r="S55">
        <f t="shared" si="55"/>
        <v>182621.13</v>
      </c>
      <c r="T55">
        <f t="shared" si="55"/>
        <v>0</v>
      </c>
      <c r="U55">
        <f>AH55</f>
        <v>868.03195199999993</v>
      </c>
      <c r="V55">
        <f>AI55</f>
        <v>322.76300075</v>
      </c>
      <c r="W55">
        <f>ROUND(AJ55,2)</f>
        <v>12245.94</v>
      </c>
      <c r="X55">
        <f>ROUND(AK55,2)</f>
        <v>302764.73</v>
      </c>
      <c r="Y55">
        <f>ROUND(AL55,2)</f>
        <v>180223.41</v>
      </c>
      <c r="AB55">
        <f>ROUND(SUMIF(AA28:AA53,"=502564877",O28:O53),2)</f>
        <v>1599289.57</v>
      </c>
      <c r="AC55">
        <f>ROUND(SUMIF(AA28:AA53,"=502564877",P28:P53),2)</f>
        <v>1090023.72</v>
      </c>
      <c r="AD55">
        <f>ROUND(SUMIF(AA28:AA53,"=502564877",Q28:Q53),2)</f>
        <v>326644.71999999997</v>
      </c>
      <c r="AE55">
        <f>ROUND(SUMIF(AA28:AA53,"=502564877",R28:R53),2)</f>
        <v>96834.12</v>
      </c>
      <c r="AF55">
        <f>ROUND(SUMIF(AA28:AA53,"=502564877",S28:S53),2)</f>
        <v>182621.13</v>
      </c>
      <c r="AG55">
        <f>ROUND(SUMIF(AA28:AA53,"=502564877",T28:T53),2)</f>
        <v>0</v>
      </c>
      <c r="AH55">
        <f>SUMIF(AA28:AA53,"=502564877",U28:U53)</f>
        <v>868.03195199999993</v>
      </c>
      <c r="AI55">
        <f>SUMIF(AA28:AA53,"=502564877",V28:V53)</f>
        <v>322.76300075</v>
      </c>
      <c r="AJ55">
        <f>ROUND(SUMIF(AA28:AA53,"=502564877",W28:W53),2)</f>
        <v>12245.94</v>
      </c>
      <c r="AK55">
        <f>ROUND(SUMIF(AA28:AA53,"=502564877",X28:X53),2)</f>
        <v>302764.73</v>
      </c>
      <c r="AL55">
        <f>ROUND(SUMIF(AA28:AA53,"=502564877",Y28:Y53),2)</f>
        <v>180223.41</v>
      </c>
      <c r="AO55">
        <f t="shared" ref="AO55:BC55" si="56">ROUND(BX55,2)</f>
        <v>0</v>
      </c>
      <c r="AP55">
        <f t="shared" si="56"/>
        <v>0</v>
      </c>
      <c r="AQ55">
        <f t="shared" si="56"/>
        <v>0</v>
      </c>
      <c r="AR55">
        <f t="shared" si="56"/>
        <v>2082277.71</v>
      </c>
      <c r="AS55">
        <f t="shared" si="56"/>
        <v>2082277.71</v>
      </c>
      <c r="AT55">
        <f t="shared" si="56"/>
        <v>0</v>
      </c>
      <c r="AU55">
        <f t="shared" si="56"/>
        <v>0</v>
      </c>
      <c r="AV55">
        <f t="shared" si="56"/>
        <v>1090023.72</v>
      </c>
      <c r="AW55">
        <f t="shared" si="56"/>
        <v>1090023.72</v>
      </c>
      <c r="AX55">
        <f t="shared" si="56"/>
        <v>0</v>
      </c>
      <c r="AY55">
        <f t="shared" si="56"/>
        <v>1090023.72</v>
      </c>
      <c r="AZ55">
        <f t="shared" si="56"/>
        <v>0</v>
      </c>
      <c r="BA55">
        <f t="shared" si="56"/>
        <v>0</v>
      </c>
      <c r="BB55">
        <f t="shared" si="56"/>
        <v>0</v>
      </c>
      <c r="BC55">
        <f t="shared" si="56"/>
        <v>0</v>
      </c>
      <c r="BX55">
        <f>ROUND(SUMIF(AA28:AA53,"=502564877",FQ28:FQ53),2)</f>
        <v>0</v>
      </c>
      <c r="BY55">
        <f>ROUND(SUMIF(AA28:AA53,"=502564877",FR28:FR53),2)</f>
        <v>0</v>
      </c>
      <c r="BZ55">
        <f>ROUND(SUMIF(AA28:AA53,"=502564877",GL28:GL53),2)</f>
        <v>0</v>
      </c>
      <c r="CA55">
        <f>ROUND(SUMIF(AA28:AA53,"=502564877",GM28:GM53),2)</f>
        <v>2082277.71</v>
      </c>
      <c r="CB55">
        <f>ROUND(SUMIF(AA28:AA53,"=502564877",GN28:GN53),2)</f>
        <v>2082277.71</v>
      </c>
      <c r="CC55">
        <f>ROUND(SUMIF(AA28:AA53,"=502564877",GO28:GO53),2)</f>
        <v>0</v>
      </c>
      <c r="CD55">
        <f>ROUND(SUMIF(AA28:AA53,"=502564877",GP28:GP53),2)</f>
        <v>0</v>
      </c>
      <c r="CE55">
        <f>AC55-BX55</f>
        <v>1090023.72</v>
      </c>
      <c r="CF55">
        <f>AC55-BY55</f>
        <v>1090023.72</v>
      </c>
      <c r="CG55">
        <f>BX55-BZ55</f>
        <v>0</v>
      </c>
      <c r="CH55">
        <f>AC55-BX55-BY55+BZ55</f>
        <v>1090023.72</v>
      </c>
      <c r="CI55">
        <f>BY55-BZ55</f>
        <v>0</v>
      </c>
      <c r="CJ55">
        <f>ROUND(SUMIF(AA28:AA53,"=502564877",GX28:GX53),2)</f>
        <v>0</v>
      </c>
      <c r="CK55">
        <f>ROUND(SUMIF(AA28:AA53,"=502564877",GY28:GY53),2)</f>
        <v>0</v>
      </c>
      <c r="CL55">
        <f>ROUND(SUMIF(AA28:AA53,"=502564877",GZ28:GZ53),2)</f>
        <v>0</v>
      </c>
      <c r="GX55">
        <v>0</v>
      </c>
    </row>
    <row r="57" spans="1:245" x14ac:dyDescent="0.35">
      <c r="A57">
        <v>50</v>
      </c>
      <c r="B57">
        <v>0</v>
      </c>
      <c r="C57">
        <v>0</v>
      </c>
      <c r="D57">
        <v>1</v>
      </c>
      <c r="E57">
        <v>201</v>
      </c>
      <c r="F57">
        <f>ROUND(Source!O55,O57)</f>
        <v>1599289.57</v>
      </c>
      <c r="G57" t="s">
        <v>145</v>
      </c>
      <c r="H57" t="s">
        <v>146</v>
      </c>
      <c r="K57">
        <v>201</v>
      </c>
      <c r="L57">
        <v>1</v>
      </c>
      <c r="M57">
        <v>3</v>
      </c>
      <c r="O57">
        <v>2</v>
      </c>
    </row>
    <row r="58" spans="1:245" x14ac:dyDescent="0.35">
      <c r="A58">
        <v>50</v>
      </c>
      <c r="B58">
        <v>0</v>
      </c>
      <c r="C58">
        <v>0</v>
      </c>
      <c r="D58">
        <v>1</v>
      </c>
      <c r="E58">
        <v>202</v>
      </c>
      <c r="F58">
        <f>ROUND(Source!P55,O58)</f>
        <v>1090023.72</v>
      </c>
      <c r="G58" t="s">
        <v>147</v>
      </c>
      <c r="H58" t="s">
        <v>148</v>
      </c>
      <c r="K58">
        <v>202</v>
      </c>
      <c r="L58">
        <v>2</v>
      </c>
      <c r="M58">
        <v>3</v>
      </c>
      <c r="O58">
        <v>2</v>
      </c>
    </row>
    <row r="59" spans="1:245" x14ac:dyDescent="0.35">
      <c r="A59">
        <v>50</v>
      </c>
      <c r="B59">
        <v>0</v>
      </c>
      <c r="C59">
        <v>0</v>
      </c>
      <c r="D59">
        <v>1</v>
      </c>
      <c r="E59">
        <v>222</v>
      </c>
      <c r="F59">
        <f>ROUND(Source!AO55,O59)</f>
        <v>0</v>
      </c>
      <c r="G59" t="s">
        <v>149</v>
      </c>
      <c r="H59" t="s">
        <v>150</v>
      </c>
      <c r="K59">
        <v>222</v>
      </c>
      <c r="L59">
        <v>3</v>
      </c>
      <c r="M59">
        <v>3</v>
      </c>
      <c r="O59">
        <v>2</v>
      </c>
    </row>
    <row r="60" spans="1:245" x14ac:dyDescent="0.35">
      <c r="A60">
        <v>50</v>
      </c>
      <c r="B60">
        <v>0</v>
      </c>
      <c r="C60">
        <v>0</v>
      </c>
      <c r="D60">
        <v>1</v>
      </c>
      <c r="E60">
        <v>225</v>
      </c>
      <c r="F60">
        <f>ROUND(Source!AV55,O60)</f>
        <v>1090023.72</v>
      </c>
      <c r="G60" t="s">
        <v>151</v>
      </c>
      <c r="H60" t="s">
        <v>152</v>
      </c>
      <c r="K60">
        <v>225</v>
      </c>
      <c r="L60">
        <v>4</v>
      </c>
      <c r="M60">
        <v>3</v>
      </c>
      <c r="O60">
        <v>2</v>
      </c>
    </row>
    <row r="61" spans="1:245" x14ac:dyDescent="0.35">
      <c r="A61">
        <v>50</v>
      </c>
      <c r="B61">
        <v>0</v>
      </c>
      <c r="C61">
        <v>0</v>
      </c>
      <c r="D61">
        <v>1</v>
      </c>
      <c r="E61">
        <v>226</v>
      </c>
      <c r="F61">
        <f>ROUND(Source!AW55,O61)</f>
        <v>1090023.72</v>
      </c>
      <c r="G61" t="s">
        <v>153</v>
      </c>
      <c r="H61" t="s">
        <v>154</v>
      </c>
      <c r="K61">
        <v>226</v>
      </c>
      <c r="L61">
        <v>5</v>
      </c>
      <c r="M61">
        <v>3</v>
      </c>
      <c r="O61">
        <v>2</v>
      </c>
    </row>
    <row r="62" spans="1:245" x14ac:dyDescent="0.35">
      <c r="A62">
        <v>50</v>
      </c>
      <c r="B62">
        <v>0</v>
      </c>
      <c r="C62">
        <v>0</v>
      </c>
      <c r="D62">
        <v>1</v>
      </c>
      <c r="E62">
        <v>227</v>
      </c>
      <c r="F62">
        <f>ROUND(Source!AX55,O62)</f>
        <v>0</v>
      </c>
      <c r="G62" t="s">
        <v>155</v>
      </c>
      <c r="H62" t="s">
        <v>156</v>
      </c>
      <c r="K62">
        <v>227</v>
      </c>
      <c r="L62">
        <v>6</v>
      </c>
      <c r="M62">
        <v>3</v>
      </c>
      <c r="O62">
        <v>2</v>
      </c>
    </row>
    <row r="63" spans="1:245" x14ac:dyDescent="0.35">
      <c r="A63">
        <v>50</v>
      </c>
      <c r="B63">
        <v>0</v>
      </c>
      <c r="C63">
        <v>0</v>
      </c>
      <c r="D63">
        <v>1</v>
      </c>
      <c r="E63">
        <v>228</v>
      </c>
      <c r="F63">
        <f>ROUND(Source!AY55,O63)</f>
        <v>1090023.72</v>
      </c>
      <c r="G63" t="s">
        <v>157</v>
      </c>
      <c r="H63" t="s">
        <v>158</v>
      </c>
      <c r="K63">
        <v>228</v>
      </c>
      <c r="L63">
        <v>7</v>
      </c>
      <c r="M63">
        <v>3</v>
      </c>
      <c r="O63">
        <v>2</v>
      </c>
    </row>
    <row r="64" spans="1:245" x14ac:dyDescent="0.35">
      <c r="A64">
        <v>50</v>
      </c>
      <c r="B64">
        <v>0</v>
      </c>
      <c r="C64">
        <v>0</v>
      </c>
      <c r="D64">
        <v>1</v>
      </c>
      <c r="E64">
        <v>216</v>
      </c>
      <c r="F64">
        <f>ROUND(Source!AP55,O64)</f>
        <v>0</v>
      </c>
      <c r="G64" t="s">
        <v>159</v>
      </c>
      <c r="H64" t="s">
        <v>160</v>
      </c>
      <c r="K64">
        <v>216</v>
      </c>
      <c r="L64">
        <v>8</v>
      </c>
      <c r="M64">
        <v>3</v>
      </c>
      <c r="O64">
        <v>2</v>
      </c>
    </row>
    <row r="65" spans="1:15" x14ac:dyDescent="0.35">
      <c r="A65">
        <v>50</v>
      </c>
      <c r="B65">
        <v>0</v>
      </c>
      <c r="C65">
        <v>0</v>
      </c>
      <c r="D65">
        <v>1</v>
      </c>
      <c r="E65">
        <v>223</v>
      </c>
      <c r="F65">
        <f>ROUND(Source!AQ55,O65)</f>
        <v>0</v>
      </c>
      <c r="G65" t="s">
        <v>161</v>
      </c>
      <c r="H65" t="s">
        <v>162</v>
      </c>
      <c r="K65">
        <v>223</v>
      </c>
      <c r="L65">
        <v>9</v>
      </c>
      <c r="M65">
        <v>3</v>
      </c>
      <c r="O65">
        <v>2</v>
      </c>
    </row>
    <row r="66" spans="1:15" x14ac:dyDescent="0.35">
      <c r="A66">
        <v>50</v>
      </c>
      <c r="B66">
        <v>0</v>
      </c>
      <c r="C66">
        <v>0</v>
      </c>
      <c r="D66">
        <v>1</v>
      </c>
      <c r="E66">
        <v>229</v>
      </c>
      <c r="F66">
        <f>ROUND(Source!AZ55,O66)</f>
        <v>0</v>
      </c>
      <c r="G66" t="s">
        <v>163</v>
      </c>
      <c r="H66" t="s">
        <v>164</v>
      </c>
      <c r="K66">
        <v>229</v>
      </c>
      <c r="L66">
        <v>10</v>
      </c>
      <c r="M66">
        <v>3</v>
      </c>
      <c r="O66">
        <v>2</v>
      </c>
    </row>
    <row r="67" spans="1:15" x14ac:dyDescent="0.35">
      <c r="A67">
        <v>50</v>
      </c>
      <c r="B67">
        <v>0</v>
      </c>
      <c r="C67">
        <v>0</v>
      </c>
      <c r="D67">
        <v>1</v>
      </c>
      <c r="E67">
        <v>203</v>
      </c>
      <c r="F67">
        <f>ROUND(Source!Q55,O67)</f>
        <v>326644.71999999997</v>
      </c>
      <c r="G67" t="s">
        <v>165</v>
      </c>
      <c r="H67" t="s">
        <v>166</v>
      </c>
      <c r="K67">
        <v>203</v>
      </c>
      <c r="L67">
        <v>11</v>
      </c>
      <c r="M67">
        <v>3</v>
      </c>
      <c r="O67">
        <v>2</v>
      </c>
    </row>
    <row r="68" spans="1:15" x14ac:dyDescent="0.35">
      <c r="A68">
        <v>50</v>
      </c>
      <c r="B68">
        <v>0</v>
      </c>
      <c r="C68">
        <v>0</v>
      </c>
      <c r="D68">
        <v>1</v>
      </c>
      <c r="E68">
        <v>231</v>
      </c>
      <c r="F68">
        <f>ROUND(Source!BB55,O68)</f>
        <v>0</v>
      </c>
      <c r="G68" t="s">
        <v>167</v>
      </c>
      <c r="H68" t="s">
        <v>168</v>
      </c>
      <c r="K68">
        <v>231</v>
      </c>
      <c r="L68">
        <v>12</v>
      </c>
      <c r="M68">
        <v>3</v>
      </c>
      <c r="O68">
        <v>2</v>
      </c>
    </row>
    <row r="69" spans="1:15" x14ac:dyDescent="0.35">
      <c r="A69">
        <v>50</v>
      </c>
      <c r="B69">
        <v>0</v>
      </c>
      <c r="C69">
        <v>0</v>
      </c>
      <c r="D69">
        <v>1</v>
      </c>
      <c r="E69">
        <v>204</v>
      </c>
      <c r="F69">
        <f>ROUND(Source!R55,O69)</f>
        <v>96834.12</v>
      </c>
      <c r="G69" t="s">
        <v>169</v>
      </c>
      <c r="H69" t="s">
        <v>170</v>
      </c>
      <c r="K69">
        <v>204</v>
      </c>
      <c r="L69">
        <v>13</v>
      </c>
      <c r="M69">
        <v>3</v>
      </c>
      <c r="O69">
        <v>2</v>
      </c>
    </row>
    <row r="70" spans="1:15" x14ac:dyDescent="0.35">
      <c r="A70">
        <v>50</v>
      </c>
      <c r="B70">
        <v>0</v>
      </c>
      <c r="C70">
        <v>0</v>
      </c>
      <c r="D70">
        <v>1</v>
      </c>
      <c r="E70">
        <v>205</v>
      </c>
      <c r="F70">
        <f>ROUND(Source!S55,O70)</f>
        <v>182621.13</v>
      </c>
      <c r="G70" t="s">
        <v>171</v>
      </c>
      <c r="H70" t="s">
        <v>172</v>
      </c>
      <c r="K70">
        <v>205</v>
      </c>
      <c r="L70">
        <v>14</v>
      </c>
      <c r="M70">
        <v>3</v>
      </c>
      <c r="O70">
        <v>2</v>
      </c>
    </row>
    <row r="71" spans="1:15" x14ac:dyDescent="0.35">
      <c r="A71">
        <v>50</v>
      </c>
      <c r="B71">
        <v>0</v>
      </c>
      <c r="C71">
        <v>0</v>
      </c>
      <c r="D71">
        <v>1</v>
      </c>
      <c r="E71">
        <v>232</v>
      </c>
      <c r="F71">
        <f>ROUND(Source!BC55,O71)</f>
        <v>0</v>
      </c>
      <c r="G71" t="s">
        <v>173</v>
      </c>
      <c r="H71" t="s">
        <v>174</v>
      </c>
      <c r="K71">
        <v>232</v>
      </c>
      <c r="L71">
        <v>15</v>
      </c>
      <c r="M71">
        <v>3</v>
      </c>
      <c r="O71">
        <v>2</v>
      </c>
    </row>
    <row r="72" spans="1:15" x14ac:dyDescent="0.35">
      <c r="A72">
        <v>50</v>
      </c>
      <c r="B72">
        <v>0</v>
      </c>
      <c r="C72">
        <v>0</v>
      </c>
      <c r="D72">
        <v>1</v>
      </c>
      <c r="E72">
        <v>214</v>
      </c>
      <c r="F72">
        <f>ROUND(Source!AS55,O72)</f>
        <v>2082277.71</v>
      </c>
      <c r="G72" t="s">
        <v>175</v>
      </c>
      <c r="H72" t="s">
        <v>176</v>
      </c>
      <c r="K72">
        <v>214</v>
      </c>
      <c r="L72">
        <v>16</v>
      </c>
      <c r="M72">
        <v>3</v>
      </c>
      <c r="O72">
        <v>2</v>
      </c>
    </row>
    <row r="73" spans="1:15" x14ac:dyDescent="0.35">
      <c r="A73">
        <v>50</v>
      </c>
      <c r="B73">
        <v>0</v>
      </c>
      <c r="C73">
        <v>0</v>
      </c>
      <c r="D73">
        <v>1</v>
      </c>
      <c r="E73">
        <v>215</v>
      </c>
      <c r="F73">
        <f>ROUND(Source!AT55,O73)</f>
        <v>0</v>
      </c>
      <c r="G73" t="s">
        <v>177</v>
      </c>
      <c r="H73" t="s">
        <v>178</v>
      </c>
      <c r="K73">
        <v>215</v>
      </c>
      <c r="L73">
        <v>17</v>
      </c>
      <c r="M73">
        <v>3</v>
      </c>
      <c r="O73">
        <v>2</v>
      </c>
    </row>
    <row r="74" spans="1:15" x14ac:dyDescent="0.35">
      <c r="A74">
        <v>50</v>
      </c>
      <c r="B74">
        <v>0</v>
      </c>
      <c r="C74">
        <v>0</v>
      </c>
      <c r="D74">
        <v>1</v>
      </c>
      <c r="E74">
        <v>217</v>
      </c>
      <c r="F74">
        <f>ROUND(Source!AU55,O74)</f>
        <v>0</v>
      </c>
      <c r="G74" t="s">
        <v>179</v>
      </c>
      <c r="H74" t="s">
        <v>180</v>
      </c>
      <c r="K74">
        <v>217</v>
      </c>
      <c r="L74">
        <v>18</v>
      </c>
      <c r="M74">
        <v>3</v>
      </c>
      <c r="O74">
        <v>2</v>
      </c>
    </row>
    <row r="75" spans="1:15" x14ac:dyDescent="0.35">
      <c r="A75">
        <v>50</v>
      </c>
      <c r="B75">
        <v>0</v>
      </c>
      <c r="C75">
        <v>0</v>
      </c>
      <c r="D75">
        <v>1</v>
      </c>
      <c r="E75">
        <v>230</v>
      </c>
      <c r="F75">
        <f>ROUND(Source!BA55,O75)</f>
        <v>0</v>
      </c>
      <c r="G75" t="s">
        <v>181</v>
      </c>
      <c r="H75" t="s">
        <v>182</v>
      </c>
      <c r="K75">
        <v>230</v>
      </c>
      <c r="L75">
        <v>19</v>
      </c>
      <c r="M75">
        <v>3</v>
      </c>
      <c r="O75">
        <v>2</v>
      </c>
    </row>
    <row r="76" spans="1:15" x14ac:dyDescent="0.35">
      <c r="A76">
        <v>50</v>
      </c>
      <c r="B76">
        <v>0</v>
      </c>
      <c r="C76">
        <v>0</v>
      </c>
      <c r="D76">
        <v>1</v>
      </c>
      <c r="E76">
        <v>206</v>
      </c>
      <c r="F76">
        <f>ROUND(Source!T55,O76)</f>
        <v>0</v>
      </c>
      <c r="G76" t="s">
        <v>183</v>
      </c>
      <c r="H76" t="s">
        <v>184</v>
      </c>
      <c r="K76">
        <v>206</v>
      </c>
      <c r="L76">
        <v>20</v>
      </c>
      <c r="M76">
        <v>3</v>
      </c>
      <c r="O76">
        <v>2</v>
      </c>
    </row>
    <row r="77" spans="1:15" x14ac:dyDescent="0.35">
      <c r="A77">
        <v>50</v>
      </c>
      <c r="B77">
        <v>0</v>
      </c>
      <c r="C77">
        <v>0</v>
      </c>
      <c r="D77">
        <v>1</v>
      </c>
      <c r="E77">
        <v>207</v>
      </c>
      <c r="F77">
        <f>Source!U55</f>
        <v>868.03195199999993</v>
      </c>
      <c r="G77" t="s">
        <v>185</v>
      </c>
      <c r="H77" t="s">
        <v>186</v>
      </c>
      <c r="K77">
        <v>207</v>
      </c>
      <c r="L77">
        <v>21</v>
      </c>
      <c r="M77">
        <v>3</v>
      </c>
      <c r="O77">
        <v>-1</v>
      </c>
    </row>
    <row r="78" spans="1:15" x14ac:dyDescent="0.35">
      <c r="A78">
        <v>50</v>
      </c>
      <c r="B78">
        <v>0</v>
      </c>
      <c r="C78">
        <v>0</v>
      </c>
      <c r="D78">
        <v>1</v>
      </c>
      <c r="E78">
        <v>208</v>
      </c>
      <c r="F78">
        <f>Source!V55</f>
        <v>322.76300075</v>
      </c>
      <c r="G78" t="s">
        <v>187</v>
      </c>
      <c r="H78" t="s">
        <v>188</v>
      </c>
      <c r="K78">
        <v>208</v>
      </c>
      <c r="L78">
        <v>22</v>
      </c>
      <c r="M78">
        <v>3</v>
      </c>
      <c r="O78">
        <v>-1</v>
      </c>
    </row>
    <row r="79" spans="1:15" x14ac:dyDescent="0.35">
      <c r="A79">
        <v>50</v>
      </c>
      <c r="B79">
        <v>0</v>
      </c>
      <c r="C79">
        <v>0</v>
      </c>
      <c r="D79">
        <v>1</v>
      </c>
      <c r="E79">
        <v>209</v>
      </c>
      <c r="F79">
        <f>ROUND(Source!W55,O79)</f>
        <v>12245.94</v>
      </c>
      <c r="G79" t="s">
        <v>189</v>
      </c>
      <c r="H79" t="s">
        <v>190</v>
      </c>
      <c r="K79">
        <v>209</v>
      </c>
      <c r="L79">
        <v>23</v>
      </c>
      <c r="M79">
        <v>3</v>
      </c>
      <c r="O79">
        <v>2</v>
      </c>
    </row>
    <row r="80" spans="1:15" x14ac:dyDescent="0.35">
      <c r="A80">
        <v>50</v>
      </c>
      <c r="B80">
        <v>0</v>
      </c>
      <c r="C80">
        <v>0</v>
      </c>
      <c r="D80">
        <v>1</v>
      </c>
      <c r="E80">
        <v>210</v>
      </c>
      <c r="F80">
        <f>ROUND(Source!X55,O80)</f>
        <v>302764.73</v>
      </c>
      <c r="G80" t="s">
        <v>191</v>
      </c>
      <c r="H80" t="s">
        <v>192</v>
      </c>
      <c r="K80">
        <v>210</v>
      </c>
      <c r="L80">
        <v>24</v>
      </c>
      <c r="M80">
        <v>3</v>
      </c>
      <c r="O80">
        <v>2</v>
      </c>
    </row>
    <row r="81" spans="1:245" x14ac:dyDescent="0.35">
      <c r="A81">
        <v>50</v>
      </c>
      <c r="B81">
        <v>0</v>
      </c>
      <c r="C81">
        <v>0</v>
      </c>
      <c r="D81">
        <v>1</v>
      </c>
      <c r="E81">
        <v>211</v>
      </c>
      <c r="F81">
        <f>ROUND(Source!Y55,O81)</f>
        <v>180223.41</v>
      </c>
      <c r="G81" t="s">
        <v>193</v>
      </c>
      <c r="H81" t="s">
        <v>194</v>
      </c>
      <c r="K81">
        <v>211</v>
      </c>
      <c r="L81">
        <v>25</v>
      </c>
      <c r="M81">
        <v>3</v>
      </c>
      <c r="O81">
        <v>2</v>
      </c>
    </row>
    <row r="82" spans="1:245" x14ac:dyDescent="0.35">
      <c r="A82">
        <v>50</v>
      </c>
      <c r="B82">
        <v>0</v>
      </c>
      <c r="C82">
        <v>0</v>
      </c>
      <c r="D82">
        <v>1</v>
      </c>
      <c r="E82">
        <v>224</v>
      </c>
      <c r="F82">
        <f>ROUND(Source!AR55,O82)</f>
        <v>2082277.71</v>
      </c>
      <c r="G82" t="s">
        <v>195</v>
      </c>
      <c r="H82" t="s">
        <v>196</v>
      </c>
      <c r="K82">
        <v>224</v>
      </c>
      <c r="L82">
        <v>26</v>
      </c>
      <c r="M82">
        <v>3</v>
      </c>
      <c r="O82">
        <v>2</v>
      </c>
    </row>
    <row r="84" spans="1:245" x14ac:dyDescent="0.35">
      <c r="A84">
        <v>4</v>
      </c>
      <c r="B84">
        <v>1</v>
      </c>
      <c r="D84">
        <f>ROW(A91)</f>
        <v>91</v>
      </c>
      <c r="F84" t="s">
        <v>55</v>
      </c>
      <c r="G84" t="s">
        <v>197</v>
      </c>
      <c r="I84">
        <v>0</v>
      </c>
      <c r="K84">
        <v>0</v>
      </c>
      <c r="V84">
        <v>0</v>
      </c>
      <c r="BX84">
        <v>0</v>
      </c>
      <c r="CJ84">
        <v>0</v>
      </c>
    </row>
    <row r="86" spans="1:245" x14ac:dyDescent="0.35">
      <c r="A86">
        <v>52</v>
      </c>
      <c r="B86">
        <f t="shared" ref="B86:G86" si="57">B91</f>
        <v>1</v>
      </c>
      <c r="C86">
        <f t="shared" si="57"/>
        <v>4</v>
      </c>
      <c r="D86">
        <f t="shared" si="57"/>
        <v>84</v>
      </c>
      <c r="E86">
        <f t="shared" si="57"/>
        <v>0</v>
      </c>
      <c r="F86" t="str">
        <f t="shared" si="57"/>
        <v>Новый раздел</v>
      </c>
      <c r="G86" t="str">
        <f t="shared" si="57"/>
        <v>Погрузка и вывоз мусора</v>
      </c>
      <c r="O86">
        <f t="shared" ref="O86:AT86" si="58">O91</f>
        <v>33410.99</v>
      </c>
      <c r="P86">
        <f t="shared" si="58"/>
        <v>0</v>
      </c>
      <c r="Q86">
        <f t="shared" si="58"/>
        <v>27023.57</v>
      </c>
      <c r="R86">
        <f t="shared" si="58"/>
        <v>0</v>
      </c>
      <c r="S86">
        <f t="shared" si="58"/>
        <v>6387.42</v>
      </c>
      <c r="T86">
        <f t="shared" si="58"/>
        <v>0</v>
      </c>
      <c r="U86">
        <f t="shared" si="58"/>
        <v>31.901518320000001</v>
      </c>
      <c r="V86">
        <f t="shared" si="58"/>
        <v>0</v>
      </c>
      <c r="W86">
        <f t="shared" si="58"/>
        <v>0</v>
      </c>
      <c r="X86">
        <f t="shared" si="58"/>
        <v>0</v>
      </c>
      <c r="Y86">
        <f t="shared" si="58"/>
        <v>0</v>
      </c>
      <c r="Z86">
        <f t="shared" si="58"/>
        <v>0</v>
      </c>
      <c r="AA86">
        <f t="shared" si="58"/>
        <v>0</v>
      </c>
      <c r="AB86">
        <f t="shared" si="58"/>
        <v>33410.99</v>
      </c>
      <c r="AC86">
        <f t="shared" si="58"/>
        <v>0</v>
      </c>
      <c r="AD86">
        <f t="shared" si="58"/>
        <v>27023.57</v>
      </c>
      <c r="AE86">
        <f t="shared" si="58"/>
        <v>0</v>
      </c>
      <c r="AF86">
        <f t="shared" si="58"/>
        <v>6387.42</v>
      </c>
      <c r="AG86">
        <f t="shared" si="58"/>
        <v>0</v>
      </c>
      <c r="AH86">
        <f t="shared" si="58"/>
        <v>31.901518320000001</v>
      </c>
      <c r="AI86">
        <f t="shared" si="58"/>
        <v>0</v>
      </c>
      <c r="AJ86">
        <f t="shared" si="58"/>
        <v>0</v>
      </c>
      <c r="AK86">
        <f t="shared" si="58"/>
        <v>0</v>
      </c>
      <c r="AL86">
        <f t="shared" si="58"/>
        <v>0</v>
      </c>
      <c r="AM86">
        <f t="shared" si="58"/>
        <v>0</v>
      </c>
      <c r="AN86">
        <f t="shared" si="58"/>
        <v>0</v>
      </c>
      <c r="AO86">
        <f t="shared" si="58"/>
        <v>0</v>
      </c>
      <c r="AP86">
        <f t="shared" si="58"/>
        <v>0</v>
      </c>
      <c r="AQ86">
        <f t="shared" si="58"/>
        <v>0</v>
      </c>
      <c r="AR86">
        <f t="shared" si="58"/>
        <v>33410.99</v>
      </c>
      <c r="AS86">
        <f t="shared" si="58"/>
        <v>33410.99</v>
      </c>
      <c r="AT86">
        <f t="shared" si="58"/>
        <v>0</v>
      </c>
      <c r="AU86">
        <f t="shared" ref="AU86:BZ86" si="59">AU91</f>
        <v>0</v>
      </c>
      <c r="AV86">
        <f t="shared" si="59"/>
        <v>0</v>
      </c>
      <c r="AW86">
        <f t="shared" si="59"/>
        <v>0</v>
      </c>
      <c r="AX86">
        <f t="shared" si="59"/>
        <v>0</v>
      </c>
      <c r="AY86">
        <f t="shared" si="59"/>
        <v>0</v>
      </c>
      <c r="AZ86">
        <f t="shared" si="59"/>
        <v>0</v>
      </c>
      <c r="BA86">
        <f t="shared" si="59"/>
        <v>0</v>
      </c>
      <c r="BB86">
        <f t="shared" si="59"/>
        <v>0</v>
      </c>
      <c r="BC86">
        <f t="shared" si="59"/>
        <v>0</v>
      </c>
      <c r="BD86">
        <f t="shared" si="59"/>
        <v>0</v>
      </c>
      <c r="BE86">
        <f t="shared" si="59"/>
        <v>0</v>
      </c>
      <c r="BF86">
        <f t="shared" si="59"/>
        <v>0</v>
      </c>
      <c r="BG86">
        <f t="shared" si="59"/>
        <v>0</v>
      </c>
      <c r="BH86">
        <f t="shared" si="59"/>
        <v>0</v>
      </c>
      <c r="BI86">
        <f t="shared" si="59"/>
        <v>0</v>
      </c>
      <c r="BJ86">
        <f t="shared" si="59"/>
        <v>0</v>
      </c>
      <c r="BK86">
        <f t="shared" si="59"/>
        <v>0</v>
      </c>
      <c r="BL86">
        <f t="shared" si="59"/>
        <v>0</v>
      </c>
      <c r="BM86">
        <f t="shared" si="59"/>
        <v>0</v>
      </c>
      <c r="BN86">
        <f t="shared" si="59"/>
        <v>0</v>
      </c>
      <c r="BO86">
        <f t="shared" si="59"/>
        <v>0</v>
      </c>
      <c r="BP86">
        <f t="shared" si="59"/>
        <v>0</v>
      </c>
      <c r="BQ86">
        <f t="shared" si="59"/>
        <v>0</v>
      </c>
      <c r="BR86">
        <f t="shared" si="59"/>
        <v>0</v>
      </c>
      <c r="BS86">
        <f t="shared" si="59"/>
        <v>0</v>
      </c>
      <c r="BT86">
        <f t="shared" si="59"/>
        <v>0</v>
      </c>
      <c r="BU86">
        <f t="shared" si="59"/>
        <v>0</v>
      </c>
      <c r="BV86">
        <f t="shared" si="59"/>
        <v>0</v>
      </c>
      <c r="BW86">
        <f t="shared" si="59"/>
        <v>0</v>
      </c>
      <c r="BX86">
        <f t="shared" si="59"/>
        <v>0</v>
      </c>
      <c r="BY86">
        <f t="shared" si="59"/>
        <v>0</v>
      </c>
      <c r="BZ86">
        <f t="shared" si="59"/>
        <v>0</v>
      </c>
      <c r="CA86">
        <f t="shared" ref="CA86:DF86" si="60">CA91</f>
        <v>33410.99</v>
      </c>
      <c r="CB86">
        <f t="shared" si="60"/>
        <v>33410.99</v>
      </c>
      <c r="CC86">
        <f t="shared" si="60"/>
        <v>0</v>
      </c>
      <c r="CD86">
        <f t="shared" si="60"/>
        <v>0</v>
      </c>
      <c r="CE86">
        <f t="shared" si="60"/>
        <v>0</v>
      </c>
      <c r="CF86">
        <f t="shared" si="60"/>
        <v>0</v>
      </c>
      <c r="CG86">
        <f t="shared" si="60"/>
        <v>0</v>
      </c>
      <c r="CH86">
        <f t="shared" si="60"/>
        <v>0</v>
      </c>
      <c r="CI86">
        <f t="shared" si="60"/>
        <v>0</v>
      </c>
      <c r="CJ86">
        <f t="shared" si="60"/>
        <v>0</v>
      </c>
      <c r="CK86">
        <f t="shared" si="60"/>
        <v>0</v>
      </c>
      <c r="CL86">
        <f t="shared" si="60"/>
        <v>0</v>
      </c>
      <c r="CM86">
        <f t="shared" si="60"/>
        <v>0</v>
      </c>
      <c r="CN86">
        <f t="shared" si="60"/>
        <v>0</v>
      </c>
      <c r="CO86">
        <f t="shared" si="60"/>
        <v>0</v>
      </c>
      <c r="CP86">
        <f t="shared" si="60"/>
        <v>0</v>
      </c>
      <c r="CQ86">
        <f t="shared" si="60"/>
        <v>0</v>
      </c>
      <c r="CR86">
        <f t="shared" si="60"/>
        <v>0</v>
      </c>
      <c r="CS86">
        <f t="shared" si="60"/>
        <v>0</v>
      </c>
      <c r="CT86">
        <f t="shared" si="60"/>
        <v>0</v>
      </c>
      <c r="CU86">
        <f t="shared" si="60"/>
        <v>0</v>
      </c>
      <c r="CV86">
        <f t="shared" si="60"/>
        <v>0</v>
      </c>
      <c r="CW86">
        <f t="shared" si="60"/>
        <v>0</v>
      </c>
      <c r="CX86">
        <f t="shared" si="60"/>
        <v>0</v>
      </c>
      <c r="CY86">
        <f t="shared" si="60"/>
        <v>0</v>
      </c>
      <c r="CZ86">
        <f t="shared" si="60"/>
        <v>0</v>
      </c>
      <c r="DA86">
        <f t="shared" si="60"/>
        <v>0</v>
      </c>
      <c r="DB86">
        <f t="shared" si="60"/>
        <v>0</v>
      </c>
      <c r="DC86">
        <f t="shared" si="60"/>
        <v>0</v>
      </c>
      <c r="DD86">
        <f t="shared" si="60"/>
        <v>0</v>
      </c>
      <c r="DE86">
        <f t="shared" si="60"/>
        <v>0</v>
      </c>
      <c r="DF86">
        <f t="shared" si="60"/>
        <v>0</v>
      </c>
      <c r="DG86">
        <f t="shared" ref="DG86:EL86" si="61">DG91</f>
        <v>0</v>
      </c>
      <c r="DH86">
        <f t="shared" si="61"/>
        <v>0</v>
      </c>
      <c r="DI86">
        <f t="shared" si="61"/>
        <v>0</v>
      </c>
      <c r="DJ86">
        <f t="shared" si="61"/>
        <v>0</v>
      </c>
      <c r="DK86">
        <f t="shared" si="61"/>
        <v>0</v>
      </c>
      <c r="DL86">
        <f t="shared" si="61"/>
        <v>0</v>
      </c>
      <c r="DM86">
        <f t="shared" si="61"/>
        <v>0</v>
      </c>
      <c r="DN86">
        <f t="shared" si="61"/>
        <v>0</v>
      </c>
      <c r="DO86">
        <f t="shared" si="61"/>
        <v>0</v>
      </c>
      <c r="DP86">
        <f t="shared" si="61"/>
        <v>0</v>
      </c>
      <c r="DQ86">
        <f t="shared" si="61"/>
        <v>0</v>
      </c>
      <c r="DR86">
        <f t="shared" si="61"/>
        <v>0</v>
      </c>
      <c r="DS86">
        <f t="shared" si="61"/>
        <v>0</v>
      </c>
      <c r="DT86">
        <f t="shared" si="61"/>
        <v>0</v>
      </c>
      <c r="DU86">
        <f t="shared" si="61"/>
        <v>0</v>
      </c>
      <c r="DV86">
        <f t="shared" si="61"/>
        <v>0</v>
      </c>
      <c r="DW86">
        <f t="shared" si="61"/>
        <v>0</v>
      </c>
      <c r="DX86">
        <f t="shared" si="61"/>
        <v>0</v>
      </c>
      <c r="DY86">
        <f t="shared" si="61"/>
        <v>0</v>
      </c>
      <c r="DZ86">
        <f t="shared" si="61"/>
        <v>0</v>
      </c>
      <c r="EA86">
        <f t="shared" si="61"/>
        <v>0</v>
      </c>
      <c r="EB86">
        <f t="shared" si="61"/>
        <v>0</v>
      </c>
      <c r="EC86">
        <f t="shared" si="61"/>
        <v>0</v>
      </c>
      <c r="ED86">
        <f t="shared" si="61"/>
        <v>0</v>
      </c>
      <c r="EE86">
        <f t="shared" si="61"/>
        <v>0</v>
      </c>
      <c r="EF86">
        <f t="shared" si="61"/>
        <v>0</v>
      </c>
      <c r="EG86">
        <f t="shared" si="61"/>
        <v>0</v>
      </c>
      <c r="EH86">
        <f t="shared" si="61"/>
        <v>0</v>
      </c>
      <c r="EI86">
        <f t="shared" si="61"/>
        <v>0</v>
      </c>
      <c r="EJ86">
        <f t="shared" si="61"/>
        <v>0</v>
      </c>
      <c r="EK86">
        <f t="shared" si="61"/>
        <v>0</v>
      </c>
      <c r="EL86">
        <f t="shared" si="61"/>
        <v>0</v>
      </c>
      <c r="EM86">
        <f t="shared" ref="EM86:FR86" si="62">EM91</f>
        <v>0</v>
      </c>
      <c r="EN86">
        <f t="shared" si="62"/>
        <v>0</v>
      </c>
      <c r="EO86">
        <f t="shared" si="62"/>
        <v>0</v>
      </c>
      <c r="EP86">
        <f t="shared" si="62"/>
        <v>0</v>
      </c>
      <c r="EQ86">
        <f t="shared" si="62"/>
        <v>0</v>
      </c>
      <c r="ER86">
        <f t="shared" si="62"/>
        <v>0</v>
      </c>
      <c r="ES86">
        <f t="shared" si="62"/>
        <v>0</v>
      </c>
      <c r="ET86">
        <f t="shared" si="62"/>
        <v>0</v>
      </c>
      <c r="EU86">
        <f t="shared" si="62"/>
        <v>0</v>
      </c>
      <c r="EV86">
        <f t="shared" si="62"/>
        <v>0</v>
      </c>
      <c r="EW86">
        <f t="shared" si="62"/>
        <v>0</v>
      </c>
      <c r="EX86">
        <f t="shared" si="62"/>
        <v>0</v>
      </c>
      <c r="EY86">
        <f t="shared" si="62"/>
        <v>0</v>
      </c>
      <c r="EZ86">
        <f t="shared" si="62"/>
        <v>0</v>
      </c>
      <c r="FA86">
        <f t="shared" si="62"/>
        <v>0</v>
      </c>
      <c r="FB86">
        <f t="shared" si="62"/>
        <v>0</v>
      </c>
      <c r="FC86">
        <f t="shared" si="62"/>
        <v>0</v>
      </c>
      <c r="FD86">
        <f t="shared" si="62"/>
        <v>0</v>
      </c>
      <c r="FE86">
        <f t="shared" si="62"/>
        <v>0</v>
      </c>
      <c r="FF86">
        <f t="shared" si="62"/>
        <v>0</v>
      </c>
      <c r="FG86">
        <f t="shared" si="62"/>
        <v>0</v>
      </c>
      <c r="FH86">
        <f t="shared" si="62"/>
        <v>0</v>
      </c>
      <c r="FI86">
        <f t="shared" si="62"/>
        <v>0</v>
      </c>
      <c r="FJ86">
        <f t="shared" si="62"/>
        <v>0</v>
      </c>
      <c r="FK86">
        <f t="shared" si="62"/>
        <v>0</v>
      </c>
      <c r="FL86">
        <f t="shared" si="62"/>
        <v>0</v>
      </c>
      <c r="FM86">
        <f t="shared" si="62"/>
        <v>0</v>
      </c>
      <c r="FN86">
        <f t="shared" si="62"/>
        <v>0</v>
      </c>
      <c r="FO86">
        <f t="shared" si="62"/>
        <v>0</v>
      </c>
      <c r="FP86">
        <f t="shared" si="62"/>
        <v>0</v>
      </c>
      <c r="FQ86">
        <f t="shared" si="62"/>
        <v>0</v>
      </c>
      <c r="FR86">
        <f t="shared" si="62"/>
        <v>0</v>
      </c>
      <c r="FS86">
        <f t="shared" ref="FS86:GX86" si="63">FS91</f>
        <v>0</v>
      </c>
      <c r="FT86">
        <f t="shared" si="63"/>
        <v>0</v>
      </c>
      <c r="FU86">
        <f t="shared" si="63"/>
        <v>0</v>
      </c>
      <c r="FV86">
        <f t="shared" si="63"/>
        <v>0</v>
      </c>
      <c r="FW86">
        <f t="shared" si="63"/>
        <v>0</v>
      </c>
      <c r="FX86">
        <f t="shared" si="63"/>
        <v>0</v>
      </c>
      <c r="FY86">
        <f t="shared" si="63"/>
        <v>0</v>
      </c>
      <c r="FZ86">
        <f t="shared" si="63"/>
        <v>0</v>
      </c>
      <c r="GA86">
        <f t="shared" si="63"/>
        <v>0</v>
      </c>
      <c r="GB86">
        <f t="shared" si="63"/>
        <v>0</v>
      </c>
      <c r="GC86">
        <f t="shared" si="63"/>
        <v>0</v>
      </c>
      <c r="GD86">
        <f t="shared" si="63"/>
        <v>0</v>
      </c>
      <c r="GE86">
        <f t="shared" si="63"/>
        <v>0</v>
      </c>
      <c r="GF86">
        <f t="shared" si="63"/>
        <v>0</v>
      </c>
      <c r="GG86">
        <f t="shared" si="63"/>
        <v>0</v>
      </c>
      <c r="GH86">
        <f t="shared" si="63"/>
        <v>0</v>
      </c>
      <c r="GI86">
        <f t="shared" si="63"/>
        <v>0</v>
      </c>
      <c r="GJ86">
        <f t="shared" si="63"/>
        <v>0</v>
      </c>
      <c r="GK86">
        <f t="shared" si="63"/>
        <v>0</v>
      </c>
      <c r="GL86">
        <f t="shared" si="63"/>
        <v>0</v>
      </c>
      <c r="GM86">
        <f t="shared" si="63"/>
        <v>0</v>
      </c>
      <c r="GN86">
        <f t="shared" si="63"/>
        <v>0</v>
      </c>
      <c r="GO86">
        <f t="shared" si="63"/>
        <v>0</v>
      </c>
      <c r="GP86">
        <f t="shared" si="63"/>
        <v>0</v>
      </c>
      <c r="GQ86">
        <f t="shared" si="63"/>
        <v>0</v>
      </c>
      <c r="GR86">
        <f t="shared" si="63"/>
        <v>0</v>
      </c>
      <c r="GS86">
        <f t="shared" si="63"/>
        <v>0</v>
      </c>
      <c r="GT86">
        <f t="shared" si="63"/>
        <v>0</v>
      </c>
      <c r="GU86">
        <f t="shared" si="63"/>
        <v>0</v>
      </c>
      <c r="GV86">
        <f t="shared" si="63"/>
        <v>0</v>
      </c>
      <c r="GW86">
        <f t="shared" si="63"/>
        <v>0</v>
      </c>
      <c r="GX86">
        <f t="shared" si="63"/>
        <v>0</v>
      </c>
    </row>
    <row r="88" spans="1:245" x14ac:dyDescent="0.35">
      <c r="A88">
        <v>17</v>
      </c>
      <c r="B88">
        <v>1</v>
      </c>
      <c r="C88">
        <f>ROW(SmtRes!A130)</f>
        <v>130</v>
      </c>
      <c r="D88">
        <f>ROW(EtalonRes!A130)</f>
        <v>130</v>
      </c>
      <c r="E88" t="s">
        <v>57</v>
      </c>
      <c r="F88" t="s">
        <v>198</v>
      </c>
      <c r="G88" t="s">
        <v>199</v>
      </c>
      <c r="H88" t="s">
        <v>75</v>
      </c>
      <c r="I88">
        <f>ROUND((I33+I38+I45)*24,9)</f>
        <v>55.221600000000002</v>
      </c>
      <c r="J88">
        <v>0</v>
      </c>
      <c r="O88">
        <f>ROUND(CP88,2)</f>
        <v>25443.11</v>
      </c>
      <c r="P88">
        <f>ROUND(CQ88*I88,2)</f>
        <v>0</v>
      </c>
      <c r="Q88">
        <f>ROUND(CR88*I88,2)</f>
        <v>19055.689999999999</v>
      </c>
      <c r="R88">
        <f>ROUND(CS88*I88,2)</f>
        <v>0</v>
      </c>
      <c r="S88">
        <f>ROUND(CT88*I88,2)</f>
        <v>6387.42</v>
      </c>
      <c r="T88">
        <f>ROUND(CU88*I88,2)</f>
        <v>0</v>
      </c>
      <c r="U88">
        <f>CV88*I88</f>
        <v>31.901518320000001</v>
      </c>
      <c r="V88">
        <f>CW88*I88</f>
        <v>0</v>
      </c>
      <c r="W88">
        <f>ROUND(CX88*I88,2)</f>
        <v>0</v>
      </c>
      <c r="X88">
        <f>ROUND(CY88,2)</f>
        <v>0</v>
      </c>
      <c r="Y88">
        <f>ROUND(CZ88,2)</f>
        <v>0</v>
      </c>
      <c r="AA88">
        <v>502564877</v>
      </c>
      <c r="AB88">
        <f>ROUND((AC88+AD88+AF88),6)</f>
        <v>42.98</v>
      </c>
      <c r="AC88">
        <f>ROUND((ES88),6)</f>
        <v>0</v>
      </c>
      <c r="AD88">
        <f>ROUND(((ET88)+ROUND(((EU88)*1.6),2)),6)</f>
        <v>32.19</v>
      </c>
      <c r="AE88">
        <f>ROUND(((EU88)+ROUND(((EU88)*1.6),2)),6)</f>
        <v>0</v>
      </c>
      <c r="AF88">
        <f>ROUND(((EV88)+ROUND(((EV88)*1.6),2)),6)</f>
        <v>10.79</v>
      </c>
      <c r="AG88">
        <f>ROUND((AP88),6)</f>
        <v>0</v>
      </c>
      <c r="AH88">
        <f>(EW88)</f>
        <v>0.57769999999999999</v>
      </c>
      <c r="AI88">
        <f>(EX88)</f>
        <v>0</v>
      </c>
      <c r="AJ88">
        <f>ROUND((AS88),6)</f>
        <v>0</v>
      </c>
      <c r="AK88">
        <v>42.98</v>
      </c>
      <c r="AL88">
        <v>0</v>
      </c>
      <c r="AM88">
        <v>32.19</v>
      </c>
      <c r="AN88">
        <v>0</v>
      </c>
      <c r="AO88">
        <v>4.1500000000000004</v>
      </c>
      <c r="AP88">
        <v>0</v>
      </c>
      <c r="AQ88">
        <v>0.57769999999999999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10.72</v>
      </c>
      <c r="BB88">
        <v>10.72</v>
      </c>
      <c r="BC88">
        <v>1</v>
      </c>
      <c r="BH88">
        <v>0</v>
      </c>
      <c r="BI88">
        <v>1</v>
      </c>
      <c r="BJ88" t="s">
        <v>200</v>
      </c>
      <c r="BM88">
        <v>700004</v>
      </c>
      <c r="BN88">
        <v>0</v>
      </c>
      <c r="BO88" t="s">
        <v>198</v>
      </c>
      <c r="BP88">
        <v>1</v>
      </c>
      <c r="BQ88">
        <v>19</v>
      </c>
      <c r="BR88">
        <v>0</v>
      </c>
      <c r="BS88">
        <v>10.72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0</v>
      </c>
      <c r="CA88">
        <v>0</v>
      </c>
      <c r="CF88">
        <v>0</v>
      </c>
      <c r="CG88">
        <v>0</v>
      </c>
      <c r="CM88">
        <v>0</v>
      </c>
      <c r="CO88">
        <v>0</v>
      </c>
      <c r="CP88">
        <f>(P88+Q88+S88)</f>
        <v>25443.11</v>
      </c>
      <c r="CQ88">
        <f>AC88*BC88</f>
        <v>0</v>
      </c>
      <c r="CR88">
        <f>AD88*BB88</f>
        <v>345.07679999999999</v>
      </c>
      <c r="CS88">
        <f>AE88*BS88</f>
        <v>0</v>
      </c>
      <c r="CT88">
        <f>AF88*BA88</f>
        <v>115.6688</v>
      </c>
      <c r="CU88">
        <f t="shared" ref="CU88:CX89" si="64">AG88</f>
        <v>0</v>
      </c>
      <c r="CV88">
        <f t="shared" si="64"/>
        <v>0.57769999999999999</v>
      </c>
      <c r="CW88">
        <f t="shared" si="64"/>
        <v>0</v>
      </c>
      <c r="CX88">
        <f t="shared" si="64"/>
        <v>0</v>
      </c>
      <c r="CY88">
        <f>(((S88+R88)*AT88)/100)</f>
        <v>0</v>
      </c>
      <c r="CZ88">
        <f>(((S88+R88)*AU88)/100)</f>
        <v>0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75</v>
      </c>
      <c r="DW88" t="s">
        <v>75</v>
      </c>
      <c r="DX88">
        <v>1</v>
      </c>
      <c r="EE88">
        <v>502286167</v>
      </c>
      <c r="EF88">
        <v>19</v>
      </c>
      <c r="EG88" t="s">
        <v>201</v>
      </c>
      <c r="EH88">
        <v>0</v>
      </c>
      <c r="EJ88">
        <v>1</v>
      </c>
      <c r="EK88">
        <v>700004</v>
      </c>
      <c r="EL88" t="s">
        <v>202</v>
      </c>
      <c r="EM88" t="s">
        <v>203</v>
      </c>
      <c r="EQ88">
        <v>0</v>
      </c>
      <c r="ER88">
        <v>42.98</v>
      </c>
      <c r="ES88">
        <v>0</v>
      </c>
      <c r="ET88">
        <v>32.19</v>
      </c>
      <c r="EU88">
        <v>0</v>
      </c>
      <c r="EV88">
        <v>4.1500000000000004</v>
      </c>
      <c r="EW88">
        <v>0.57769999999999999</v>
      </c>
      <c r="EX88">
        <v>0</v>
      </c>
      <c r="EY88">
        <v>0</v>
      </c>
      <c r="FQ88">
        <v>0</v>
      </c>
      <c r="FR88">
        <f>ROUND(IF(AND(BH88=3,BI88=3),P88,0),2)</f>
        <v>0</v>
      </c>
      <c r="FS88">
        <v>0</v>
      </c>
      <c r="FX88">
        <v>0</v>
      </c>
      <c r="FY88">
        <v>0</v>
      </c>
      <c r="GD88">
        <v>0</v>
      </c>
      <c r="GF88">
        <v>-135377105</v>
      </c>
      <c r="GG88">
        <v>2</v>
      </c>
      <c r="GH88">
        <v>1</v>
      </c>
      <c r="GI88">
        <v>2</v>
      </c>
      <c r="GJ88">
        <v>0</v>
      </c>
      <c r="GK88">
        <f>ROUND(R88*(R12)/100,2)</f>
        <v>0</v>
      </c>
      <c r="GL88">
        <f>ROUND(IF(AND(BH88=3,BI88=3,FS88&lt;&gt;0),P88,0),2)</f>
        <v>0</v>
      </c>
      <c r="GM88">
        <f>ROUND(O88+X88+Y88+GK88,2)+GX88</f>
        <v>25443.11</v>
      </c>
      <c r="GN88">
        <f>IF(OR(BI88=0,BI88=1),ROUND(O88+X88+Y88+GK88,2),0)</f>
        <v>25443.11</v>
      </c>
      <c r="GO88">
        <f>IF(BI88=2,ROUND(O88+X88+Y88+GK88,2),0)</f>
        <v>0</v>
      </c>
      <c r="GP88">
        <f>IF(BI88=4,ROUND(O88+X88+Y88+GK88,2)+GX88,0)</f>
        <v>0</v>
      </c>
      <c r="GR88">
        <v>0</v>
      </c>
      <c r="GS88">
        <v>3</v>
      </c>
      <c r="GT88">
        <v>0</v>
      </c>
      <c r="GV88">
        <f>ROUND(GT88,6)</f>
        <v>0</v>
      </c>
      <c r="GW88">
        <v>1</v>
      </c>
      <c r="GX88">
        <f>ROUND(GV88*GW88*I88,2)</f>
        <v>0</v>
      </c>
      <c r="HA88">
        <v>0</v>
      </c>
      <c r="HB88">
        <v>0</v>
      </c>
      <c r="IK88">
        <v>0</v>
      </c>
    </row>
    <row r="89" spans="1:245" x14ac:dyDescent="0.35">
      <c r="A89">
        <v>17</v>
      </c>
      <c r="B89">
        <v>1</v>
      </c>
      <c r="C89">
        <f>ROW(SmtRes!A131)</f>
        <v>131</v>
      </c>
      <c r="D89">
        <f>ROW(EtalonRes!A131)</f>
        <v>131</v>
      </c>
      <c r="E89" t="s">
        <v>72</v>
      </c>
      <c r="F89" t="s">
        <v>73</v>
      </c>
      <c r="G89" t="s">
        <v>74</v>
      </c>
      <c r="H89" t="s">
        <v>75</v>
      </c>
      <c r="I89">
        <f>ROUND(I88,9)</f>
        <v>55.221600000000002</v>
      </c>
      <c r="J89">
        <v>0</v>
      </c>
      <c r="O89">
        <f>ROUND(CP89,2)</f>
        <v>7967.88</v>
      </c>
      <c r="P89">
        <f>ROUND(CQ89*I89,2)</f>
        <v>0</v>
      </c>
      <c r="Q89">
        <f>ROUND(CR89*I89,2)</f>
        <v>7967.88</v>
      </c>
      <c r="R89">
        <f>ROUND(CS89*I89,2)</f>
        <v>0</v>
      </c>
      <c r="S89">
        <f>ROUND(CT89*I89,2)</f>
        <v>0</v>
      </c>
      <c r="T89">
        <f>ROUND(CU89*I89,2)</f>
        <v>0</v>
      </c>
      <c r="U89">
        <f>CV89*I89</f>
        <v>0</v>
      </c>
      <c r="V89">
        <f>CW89*I89</f>
        <v>0</v>
      </c>
      <c r="W89">
        <f>ROUND(CX89*I89,2)</f>
        <v>0</v>
      </c>
      <c r="X89">
        <f>ROUND(CY89,2)</f>
        <v>0</v>
      </c>
      <c r="Y89">
        <f>ROUND(CZ89,2)</f>
        <v>0</v>
      </c>
      <c r="AA89">
        <v>502564877</v>
      </c>
      <c r="AB89">
        <f>ROUND((AC89+AD89+AF89),6)</f>
        <v>19.29</v>
      </c>
      <c r="AC89">
        <f>ROUND((ES89),6)</f>
        <v>0</v>
      </c>
      <c r="AD89">
        <f>ROUND(((ET89)+ROUND(((EU89)*1.85),2)),6)</f>
        <v>19.29</v>
      </c>
      <c r="AE89">
        <f>ROUND(((EU89)+ROUND(((EU89)*1.85),2)),6)</f>
        <v>0</v>
      </c>
      <c r="AF89">
        <f>ROUND(((EV89)+ROUND(((EV89)*1.85),2)),6)</f>
        <v>0</v>
      </c>
      <c r="AG89">
        <f>ROUND((AP89),6)</f>
        <v>0</v>
      </c>
      <c r="AH89">
        <f>(EW89)</f>
        <v>0</v>
      </c>
      <c r="AI89">
        <f>(EX89)</f>
        <v>0</v>
      </c>
      <c r="AJ89">
        <f>ROUND((AS89),6)</f>
        <v>0</v>
      </c>
      <c r="AK89">
        <v>19.29</v>
      </c>
      <c r="AL89">
        <v>0</v>
      </c>
      <c r="AM89">
        <v>19.29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7.48</v>
      </c>
      <c r="BB89">
        <v>7.48</v>
      </c>
      <c r="BC89">
        <v>7.48</v>
      </c>
      <c r="BH89">
        <v>0</v>
      </c>
      <c r="BI89">
        <v>1</v>
      </c>
      <c r="BJ89" t="s">
        <v>76</v>
      </c>
      <c r="BM89">
        <v>700001</v>
      </c>
      <c r="BN89">
        <v>0</v>
      </c>
      <c r="BP89">
        <v>0</v>
      </c>
      <c r="BQ89">
        <v>10</v>
      </c>
      <c r="BR89">
        <v>0</v>
      </c>
      <c r="BS89">
        <v>7.48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0</v>
      </c>
      <c r="CA89">
        <v>0</v>
      </c>
      <c r="CF89">
        <v>0</v>
      </c>
      <c r="CG89">
        <v>0</v>
      </c>
      <c r="CM89">
        <v>0</v>
      </c>
      <c r="CO89">
        <v>0</v>
      </c>
      <c r="CP89">
        <f>(P89+Q89+S89)</f>
        <v>7967.88</v>
      </c>
      <c r="CQ89">
        <f>AC89*BC89</f>
        <v>0</v>
      </c>
      <c r="CR89">
        <f>AD89*BB89</f>
        <v>144.28919999999999</v>
      </c>
      <c r="CS89">
        <f>AE89*BS89</f>
        <v>0</v>
      </c>
      <c r="CT89">
        <f>AF89*BA89</f>
        <v>0</v>
      </c>
      <c r="CU89">
        <f t="shared" si="64"/>
        <v>0</v>
      </c>
      <c r="CV89">
        <f t="shared" si="64"/>
        <v>0</v>
      </c>
      <c r="CW89">
        <f t="shared" si="64"/>
        <v>0</v>
      </c>
      <c r="CX89">
        <f t="shared" si="64"/>
        <v>0</v>
      </c>
      <c r="CY89">
        <f>(((S89+R89)*AT89)/100)</f>
        <v>0</v>
      </c>
      <c r="CZ89">
        <f>(((S89+R89)*AU89)/100)</f>
        <v>0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75</v>
      </c>
      <c r="DW89" t="s">
        <v>75</v>
      </c>
      <c r="DX89">
        <v>1</v>
      </c>
      <c r="EE89">
        <v>502285917</v>
      </c>
      <c r="EF89">
        <v>10</v>
      </c>
      <c r="EG89" t="s">
        <v>77</v>
      </c>
      <c r="EH89">
        <v>0</v>
      </c>
      <c r="EJ89">
        <v>1</v>
      </c>
      <c r="EK89">
        <v>700001</v>
      </c>
      <c r="EL89" t="s">
        <v>78</v>
      </c>
      <c r="EM89" t="s">
        <v>79</v>
      </c>
      <c r="EQ89">
        <v>0</v>
      </c>
      <c r="ER89">
        <v>19.29</v>
      </c>
      <c r="ES89">
        <v>0</v>
      </c>
      <c r="ET89">
        <v>19.29</v>
      </c>
      <c r="EU89">
        <v>0</v>
      </c>
      <c r="EV89">
        <v>0</v>
      </c>
      <c r="EW89">
        <v>0</v>
      </c>
      <c r="EX89">
        <v>0</v>
      </c>
      <c r="EY89">
        <v>0</v>
      </c>
      <c r="FQ89">
        <v>0</v>
      </c>
      <c r="FR89">
        <f>ROUND(IF(AND(BH89=3,BI89=3),P89,0),2)</f>
        <v>0</v>
      </c>
      <c r="FS89">
        <v>0</v>
      </c>
      <c r="FX89">
        <v>0</v>
      </c>
      <c r="FY89">
        <v>0</v>
      </c>
      <c r="GD89">
        <v>0</v>
      </c>
      <c r="GF89">
        <v>-260295266</v>
      </c>
      <c r="GG89">
        <v>2</v>
      </c>
      <c r="GH89">
        <v>1</v>
      </c>
      <c r="GI89">
        <v>2</v>
      </c>
      <c r="GJ89">
        <v>0</v>
      </c>
      <c r="GK89">
        <f>ROUND(R89*(R12)/100,2)</f>
        <v>0</v>
      </c>
      <c r="GL89">
        <f>ROUND(IF(AND(BH89=3,BI89=3,FS89&lt;&gt;0),P89,0),2)</f>
        <v>0</v>
      </c>
      <c r="GM89">
        <f>ROUND(O89+X89+Y89+GK89,2)+GX89</f>
        <v>7967.88</v>
      </c>
      <c r="GN89">
        <f>IF(OR(BI89=0,BI89=1),ROUND(O89+X89+Y89+GK89,2),0)</f>
        <v>7967.88</v>
      </c>
      <c r="GO89">
        <f>IF(BI89=2,ROUND(O89+X89+Y89+GK89,2),0)</f>
        <v>0</v>
      </c>
      <c r="GP89">
        <f>IF(BI89=4,ROUND(O89+X89+Y89+GK89,2)+GX89,0)</f>
        <v>0</v>
      </c>
      <c r="GR89">
        <v>0</v>
      </c>
      <c r="GS89">
        <v>3</v>
      </c>
      <c r="GT89">
        <v>0</v>
      </c>
      <c r="GV89">
        <f>ROUND(GT89,6)</f>
        <v>0</v>
      </c>
      <c r="GW89">
        <v>1</v>
      </c>
      <c r="GX89">
        <f>ROUND(GV89*GW89*I89,2)</f>
        <v>0</v>
      </c>
      <c r="HA89">
        <v>0</v>
      </c>
      <c r="HB89">
        <v>0</v>
      </c>
      <c r="IK89">
        <v>0</v>
      </c>
    </row>
    <row r="91" spans="1:245" x14ac:dyDescent="0.35">
      <c r="A91">
        <v>51</v>
      </c>
      <c r="B91">
        <f>B84</f>
        <v>1</v>
      </c>
      <c r="C91">
        <f>A84</f>
        <v>4</v>
      </c>
      <c r="D91">
        <f>ROW(A84)</f>
        <v>84</v>
      </c>
      <c r="F91" t="str">
        <f>IF(F84&lt;&gt;"",F84,"")</f>
        <v>Новый раздел</v>
      </c>
      <c r="G91" t="str">
        <f>IF(G84&lt;&gt;"",G84,"")</f>
        <v>Погрузка и вывоз мусора</v>
      </c>
      <c r="H91">
        <v>0</v>
      </c>
      <c r="O91">
        <f t="shared" ref="O91:T91" si="65">ROUND(AB91,2)</f>
        <v>33410.99</v>
      </c>
      <c r="P91">
        <f t="shared" si="65"/>
        <v>0</v>
      </c>
      <c r="Q91">
        <f t="shared" si="65"/>
        <v>27023.57</v>
      </c>
      <c r="R91">
        <f t="shared" si="65"/>
        <v>0</v>
      </c>
      <c r="S91">
        <f t="shared" si="65"/>
        <v>6387.42</v>
      </c>
      <c r="T91">
        <f t="shared" si="65"/>
        <v>0</v>
      </c>
      <c r="U91">
        <f>AH91</f>
        <v>31.901518320000001</v>
      </c>
      <c r="V91">
        <f>AI91</f>
        <v>0</v>
      </c>
      <c r="W91">
        <f>ROUND(AJ91,2)</f>
        <v>0</v>
      </c>
      <c r="X91">
        <f>ROUND(AK91,2)</f>
        <v>0</v>
      </c>
      <c r="Y91">
        <f>ROUND(AL91,2)</f>
        <v>0</v>
      </c>
      <c r="AB91">
        <f>ROUND(SUMIF(AA88:AA89,"=502564877",O88:O89),2)</f>
        <v>33410.99</v>
      </c>
      <c r="AC91">
        <f>ROUND(SUMIF(AA88:AA89,"=502564877",P88:P89),2)</f>
        <v>0</v>
      </c>
      <c r="AD91">
        <f>ROUND(SUMIF(AA88:AA89,"=502564877",Q88:Q89),2)</f>
        <v>27023.57</v>
      </c>
      <c r="AE91">
        <f>ROUND(SUMIF(AA88:AA89,"=502564877",R88:R89),2)</f>
        <v>0</v>
      </c>
      <c r="AF91">
        <f>ROUND(SUMIF(AA88:AA89,"=502564877",S88:S89),2)</f>
        <v>6387.42</v>
      </c>
      <c r="AG91">
        <f>ROUND(SUMIF(AA88:AA89,"=502564877",T88:T89),2)</f>
        <v>0</v>
      </c>
      <c r="AH91">
        <f>SUMIF(AA88:AA89,"=502564877",U88:U89)</f>
        <v>31.901518320000001</v>
      </c>
      <c r="AI91">
        <f>SUMIF(AA88:AA89,"=502564877",V88:V89)</f>
        <v>0</v>
      </c>
      <c r="AJ91">
        <f>ROUND(SUMIF(AA88:AA89,"=502564877",W88:W89),2)</f>
        <v>0</v>
      </c>
      <c r="AK91">
        <f>ROUND(SUMIF(AA88:AA89,"=502564877",X88:X89),2)</f>
        <v>0</v>
      </c>
      <c r="AL91">
        <f>ROUND(SUMIF(AA88:AA89,"=502564877",Y88:Y89),2)</f>
        <v>0</v>
      </c>
      <c r="AO91">
        <f t="shared" ref="AO91:BC91" si="66">ROUND(BX91,2)</f>
        <v>0</v>
      </c>
      <c r="AP91">
        <f t="shared" si="66"/>
        <v>0</v>
      </c>
      <c r="AQ91">
        <f t="shared" si="66"/>
        <v>0</v>
      </c>
      <c r="AR91">
        <f t="shared" si="66"/>
        <v>33410.99</v>
      </c>
      <c r="AS91">
        <f t="shared" si="66"/>
        <v>33410.99</v>
      </c>
      <c r="AT91">
        <f t="shared" si="66"/>
        <v>0</v>
      </c>
      <c r="AU91">
        <f t="shared" si="66"/>
        <v>0</v>
      </c>
      <c r="AV91">
        <f t="shared" si="66"/>
        <v>0</v>
      </c>
      <c r="AW91">
        <f t="shared" si="66"/>
        <v>0</v>
      </c>
      <c r="AX91">
        <f t="shared" si="66"/>
        <v>0</v>
      </c>
      <c r="AY91">
        <f t="shared" si="66"/>
        <v>0</v>
      </c>
      <c r="AZ91">
        <f t="shared" si="66"/>
        <v>0</v>
      </c>
      <c r="BA91">
        <f t="shared" si="66"/>
        <v>0</v>
      </c>
      <c r="BB91">
        <f t="shared" si="66"/>
        <v>0</v>
      </c>
      <c r="BC91">
        <f t="shared" si="66"/>
        <v>0</v>
      </c>
      <c r="BX91">
        <f>ROUND(SUMIF(AA88:AA89,"=502564877",FQ88:FQ89),2)</f>
        <v>0</v>
      </c>
      <c r="BY91">
        <f>ROUND(SUMIF(AA88:AA89,"=502564877",FR88:FR89),2)</f>
        <v>0</v>
      </c>
      <c r="BZ91">
        <f>ROUND(SUMIF(AA88:AA89,"=502564877",GL88:GL89),2)</f>
        <v>0</v>
      </c>
      <c r="CA91">
        <f>ROUND(SUMIF(AA88:AA89,"=502564877",GM88:GM89),2)</f>
        <v>33410.99</v>
      </c>
      <c r="CB91">
        <f>ROUND(SUMIF(AA88:AA89,"=502564877",GN88:GN89),2)</f>
        <v>33410.99</v>
      </c>
      <c r="CC91">
        <f>ROUND(SUMIF(AA88:AA89,"=502564877",GO88:GO89),2)</f>
        <v>0</v>
      </c>
      <c r="CD91">
        <f>ROUND(SUMIF(AA88:AA89,"=502564877",GP88:GP89),2)</f>
        <v>0</v>
      </c>
      <c r="CE91">
        <f>AC91-BX91</f>
        <v>0</v>
      </c>
      <c r="CF91">
        <f>AC91-BY91</f>
        <v>0</v>
      </c>
      <c r="CG91">
        <f>BX91-BZ91</f>
        <v>0</v>
      </c>
      <c r="CH91">
        <f>AC91-BX91-BY91+BZ91</f>
        <v>0</v>
      </c>
      <c r="CI91">
        <f>BY91-BZ91</f>
        <v>0</v>
      </c>
      <c r="CJ91">
        <f>ROUND(SUMIF(AA88:AA89,"=502564877",GX88:GX89),2)</f>
        <v>0</v>
      </c>
      <c r="CK91">
        <f>ROUND(SUMIF(AA88:AA89,"=502564877",GY88:GY89),2)</f>
        <v>0</v>
      </c>
      <c r="CL91">
        <f>ROUND(SUMIF(AA88:AA89,"=502564877",GZ88:GZ89),2)</f>
        <v>0</v>
      </c>
      <c r="GX91">
        <v>0</v>
      </c>
    </row>
    <row r="93" spans="1:245" x14ac:dyDescent="0.35">
      <c r="A93">
        <v>50</v>
      </c>
      <c r="B93">
        <v>0</v>
      </c>
      <c r="C93">
        <v>0</v>
      </c>
      <c r="D93">
        <v>1</v>
      </c>
      <c r="E93">
        <v>201</v>
      </c>
      <c r="F93">
        <f>ROUND(Source!O91,O93)</f>
        <v>33410.99</v>
      </c>
      <c r="G93" t="s">
        <v>145</v>
      </c>
      <c r="H93" t="s">
        <v>146</v>
      </c>
      <c r="K93">
        <v>201</v>
      </c>
      <c r="L93">
        <v>1</v>
      </c>
      <c r="M93">
        <v>3</v>
      </c>
      <c r="O93">
        <v>2</v>
      </c>
    </row>
    <row r="94" spans="1:245" x14ac:dyDescent="0.35">
      <c r="A94">
        <v>50</v>
      </c>
      <c r="B94">
        <v>0</v>
      </c>
      <c r="C94">
        <v>0</v>
      </c>
      <c r="D94">
        <v>1</v>
      </c>
      <c r="E94">
        <v>202</v>
      </c>
      <c r="F94">
        <f>ROUND(Source!P91,O94)</f>
        <v>0</v>
      </c>
      <c r="G94" t="s">
        <v>147</v>
      </c>
      <c r="H94" t="s">
        <v>148</v>
      </c>
      <c r="K94">
        <v>202</v>
      </c>
      <c r="L94">
        <v>2</v>
      </c>
      <c r="M94">
        <v>3</v>
      </c>
      <c r="O94">
        <v>2</v>
      </c>
    </row>
    <row r="95" spans="1:245" x14ac:dyDescent="0.35">
      <c r="A95">
        <v>50</v>
      </c>
      <c r="B95">
        <v>0</v>
      </c>
      <c r="C95">
        <v>0</v>
      </c>
      <c r="D95">
        <v>1</v>
      </c>
      <c r="E95">
        <v>222</v>
      </c>
      <c r="F95">
        <f>ROUND(Source!AO91,O95)</f>
        <v>0</v>
      </c>
      <c r="G95" t="s">
        <v>149</v>
      </c>
      <c r="H95" t="s">
        <v>150</v>
      </c>
      <c r="K95">
        <v>222</v>
      </c>
      <c r="L95">
        <v>3</v>
      </c>
      <c r="M95">
        <v>3</v>
      </c>
      <c r="O95">
        <v>2</v>
      </c>
    </row>
    <row r="96" spans="1:245" x14ac:dyDescent="0.35">
      <c r="A96">
        <v>50</v>
      </c>
      <c r="B96">
        <v>0</v>
      </c>
      <c r="C96">
        <v>0</v>
      </c>
      <c r="D96">
        <v>1</v>
      </c>
      <c r="E96">
        <v>225</v>
      </c>
      <c r="F96">
        <f>ROUND(Source!AV91,O96)</f>
        <v>0</v>
      </c>
      <c r="G96" t="s">
        <v>151</v>
      </c>
      <c r="H96" t="s">
        <v>152</v>
      </c>
      <c r="K96">
        <v>225</v>
      </c>
      <c r="L96">
        <v>4</v>
      </c>
      <c r="M96">
        <v>3</v>
      </c>
      <c r="O96">
        <v>2</v>
      </c>
    </row>
    <row r="97" spans="1:15" x14ac:dyDescent="0.35">
      <c r="A97">
        <v>50</v>
      </c>
      <c r="B97">
        <v>0</v>
      </c>
      <c r="C97">
        <v>0</v>
      </c>
      <c r="D97">
        <v>1</v>
      </c>
      <c r="E97">
        <v>226</v>
      </c>
      <c r="F97">
        <f>ROUND(Source!AW91,O97)</f>
        <v>0</v>
      </c>
      <c r="G97" t="s">
        <v>153</v>
      </c>
      <c r="H97" t="s">
        <v>154</v>
      </c>
      <c r="K97">
        <v>226</v>
      </c>
      <c r="L97">
        <v>5</v>
      </c>
      <c r="M97">
        <v>3</v>
      </c>
      <c r="O97">
        <v>2</v>
      </c>
    </row>
    <row r="98" spans="1:15" x14ac:dyDescent="0.35">
      <c r="A98">
        <v>50</v>
      </c>
      <c r="B98">
        <v>0</v>
      </c>
      <c r="C98">
        <v>0</v>
      </c>
      <c r="D98">
        <v>1</v>
      </c>
      <c r="E98">
        <v>227</v>
      </c>
      <c r="F98">
        <f>ROUND(Source!AX91,O98)</f>
        <v>0</v>
      </c>
      <c r="G98" t="s">
        <v>155</v>
      </c>
      <c r="H98" t="s">
        <v>156</v>
      </c>
      <c r="K98">
        <v>227</v>
      </c>
      <c r="L98">
        <v>6</v>
      </c>
      <c r="M98">
        <v>3</v>
      </c>
      <c r="O98">
        <v>2</v>
      </c>
    </row>
    <row r="99" spans="1:15" x14ac:dyDescent="0.35">
      <c r="A99">
        <v>50</v>
      </c>
      <c r="B99">
        <v>0</v>
      </c>
      <c r="C99">
        <v>0</v>
      </c>
      <c r="D99">
        <v>1</v>
      </c>
      <c r="E99">
        <v>228</v>
      </c>
      <c r="F99">
        <f>ROUND(Source!AY91,O99)</f>
        <v>0</v>
      </c>
      <c r="G99" t="s">
        <v>157</v>
      </c>
      <c r="H99" t="s">
        <v>158</v>
      </c>
      <c r="K99">
        <v>228</v>
      </c>
      <c r="L99">
        <v>7</v>
      </c>
      <c r="M99">
        <v>3</v>
      </c>
      <c r="O99">
        <v>2</v>
      </c>
    </row>
    <row r="100" spans="1:15" x14ac:dyDescent="0.35">
      <c r="A100">
        <v>50</v>
      </c>
      <c r="B100">
        <v>0</v>
      </c>
      <c r="C100">
        <v>0</v>
      </c>
      <c r="D100">
        <v>1</v>
      </c>
      <c r="E100">
        <v>216</v>
      </c>
      <c r="F100">
        <f>ROUND(Source!AP91,O100)</f>
        <v>0</v>
      </c>
      <c r="G100" t="s">
        <v>159</v>
      </c>
      <c r="H100" t="s">
        <v>160</v>
      </c>
      <c r="K100">
        <v>216</v>
      </c>
      <c r="L100">
        <v>8</v>
      </c>
      <c r="M100">
        <v>3</v>
      </c>
      <c r="O100">
        <v>2</v>
      </c>
    </row>
    <row r="101" spans="1:15" x14ac:dyDescent="0.35">
      <c r="A101">
        <v>50</v>
      </c>
      <c r="B101">
        <v>0</v>
      </c>
      <c r="C101">
        <v>0</v>
      </c>
      <c r="D101">
        <v>1</v>
      </c>
      <c r="E101">
        <v>223</v>
      </c>
      <c r="F101">
        <f>ROUND(Source!AQ91,O101)</f>
        <v>0</v>
      </c>
      <c r="G101" t="s">
        <v>161</v>
      </c>
      <c r="H101" t="s">
        <v>162</v>
      </c>
      <c r="K101">
        <v>223</v>
      </c>
      <c r="L101">
        <v>9</v>
      </c>
      <c r="M101">
        <v>3</v>
      </c>
      <c r="O101">
        <v>2</v>
      </c>
    </row>
    <row r="102" spans="1:15" x14ac:dyDescent="0.35">
      <c r="A102">
        <v>50</v>
      </c>
      <c r="B102">
        <v>0</v>
      </c>
      <c r="C102">
        <v>0</v>
      </c>
      <c r="D102">
        <v>1</v>
      </c>
      <c r="E102">
        <v>229</v>
      </c>
      <c r="F102">
        <f>ROUND(Source!AZ91,O102)</f>
        <v>0</v>
      </c>
      <c r="G102" t="s">
        <v>163</v>
      </c>
      <c r="H102" t="s">
        <v>164</v>
      </c>
      <c r="K102">
        <v>229</v>
      </c>
      <c r="L102">
        <v>10</v>
      </c>
      <c r="M102">
        <v>3</v>
      </c>
      <c r="O102">
        <v>2</v>
      </c>
    </row>
    <row r="103" spans="1:15" x14ac:dyDescent="0.35">
      <c r="A103">
        <v>50</v>
      </c>
      <c r="B103">
        <v>0</v>
      </c>
      <c r="C103">
        <v>0</v>
      </c>
      <c r="D103">
        <v>1</v>
      </c>
      <c r="E103">
        <v>203</v>
      </c>
      <c r="F103">
        <f>ROUND(Source!Q91,O103)</f>
        <v>27023.57</v>
      </c>
      <c r="G103" t="s">
        <v>165</v>
      </c>
      <c r="H103" t="s">
        <v>166</v>
      </c>
      <c r="K103">
        <v>203</v>
      </c>
      <c r="L103">
        <v>11</v>
      </c>
      <c r="M103">
        <v>3</v>
      </c>
      <c r="O103">
        <v>2</v>
      </c>
    </row>
    <row r="104" spans="1:15" x14ac:dyDescent="0.35">
      <c r="A104">
        <v>50</v>
      </c>
      <c r="B104">
        <v>0</v>
      </c>
      <c r="C104">
        <v>0</v>
      </c>
      <c r="D104">
        <v>1</v>
      </c>
      <c r="E104">
        <v>231</v>
      </c>
      <c r="F104">
        <f>ROUND(Source!BB91,O104)</f>
        <v>0</v>
      </c>
      <c r="G104" t="s">
        <v>167</v>
      </c>
      <c r="H104" t="s">
        <v>168</v>
      </c>
      <c r="K104">
        <v>231</v>
      </c>
      <c r="L104">
        <v>12</v>
      </c>
      <c r="M104">
        <v>3</v>
      </c>
      <c r="O104">
        <v>2</v>
      </c>
    </row>
    <row r="105" spans="1:15" x14ac:dyDescent="0.35">
      <c r="A105">
        <v>50</v>
      </c>
      <c r="B105">
        <v>0</v>
      </c>
      <c r="C105">
        <v>0</v>
      </c>
      <c r="D105">
        <v>1</v>
      </c>
      <c r="E105">
        <v>204</v>
      </c>
      <c r="F105">
        <f>ROUND(Source!R91,O105)</f>
        <v>0</v>
      </c>
      <c r="G105" t="s">
        <v>169</v>
      </c>
      <c r="H105" t="s">
        <v>170</v>
      </c>
      <c r="K105">
        <v>204</v>
      </c>
      <c r="L105">
        <v>13</v>
      </c>
      <c r="M105">
        <v>3</v>
      </c>
      <c r="O105">
        <v>2</v>
      </c>
    </row>
    <row r="106" spans="1:15" x14ac:dyDescent="0.35">
      <c r="A106">
        <v>50</v>
      </c>
      <c r="B106">
        <v>0</v>
      </c>
      <c r="C106">
        <v>0</v>
      </c>
      <c r="D106">
        <v>1</v>
      </c>
      <c r="E106">
        <v>205</v>
      </c>
      <c r="F106">
        <f>ROUND(Source!S91,O106)</f>
        <v>6387.42</v>
      </c>
      <c r="G106" t="s">
        <v>171</v>
      </c>
      <c r="H106" t="s">
        <v>172</v>
      </c>
      <c r="K106">
        <v>205</v>
      </c>
      <c r="L106">
        <v>14</v>
      </c>
      <c r="M106">
        <v>3</v>
      </c>
      <c r="O106">
        <v>2</v>
      </c>
    </row>
    <row r="107" spans="1:15" x14ac:dyDescent="0.35">
      <c r="A107">
        <v>50</v>
      </c>
      <c r="B107">
        <v>0</v>
      </c>
      <c r="C107">
        <v>0</v>
      </c>
      <c r="D107">
        <v>1</v>
      </c>
      <c r="E107">
        <v>232</v>
      </c>
      <c r="F107">
        <f>ROUND(Source!BC91,O107)</f>
        <v>0</v>
      </c>
      <c r="G107" t="s">
        <v>173</v>
      </c>
      <c r="H107" t="s">
        <v>174</v>
      </c>
      <c r="K107">
        <v>232</v>
      </c>
      <c r="L107">
        <v>15</v>
      </c>
      <c r="M107">
        <v>3</v>
      </c>
      <c r="O107">
        <v>2</v>
      </c>
    </row>
    <row r="108" spans="1:15" x14ac:dyDescent="0.35">
      <c r="A108">
        <v>50</v>
      </c>
      <c r="B108">
        <v>0</v>
      </c>
      <c r="C108">
        <v>0</v>
      </c>
      <c r="D108">
        <v>1</v>
      </c>
      <c r="E108">
        <v>214</v>
      </c>
      <c r="F108">
        <f>ROUND(Source!AS91,O108)</f>
        <v>33410.99</v>
      </c>
      <c r="G108" t="s">
        <v>175</v>
      </c>
      <c r="H108" t="s">
        <v>176</v>
      </c>
      <c r="K108">
        <v>214</v>
      </c>
      <c r="L108">
        <v>16</v>
      </c>
      <c r="M108">
        <v>3</v>
      </c>
      <c r="O108">
        <v>2</v>
      </c>
    </row>
    <row r="109" spans="1:15" x14ac:dyDescent="0.35">
      <c r="A109">
        <v>50</v>
      </c>
      <c r="B109">
        <v>0</v>
      </c>
      <c r="C109">
        <v>0</v>
      </c>
      <c r="D109">
        <v>1</v>
      </c>
      <c r="E109">
        <v>215</v>
      </c>
      <c r="F109">
        <f>ROUND(Source!AT91,O109)</f>
        <v>0</v>
      </c>
      <c r="G109" t="s">
        <v>177</v>
      </c>
      <c r="H109" t="s">
        <v>178</v>
      </c>
      <c r="K109">
        <v>215</v>
      </c>
      <c r="L109">
        <v>17</v>
      </c>
      <c r="M109">
        <v>3</v>
      </c>
      <c r="O109">
        <v>2</v>
      </c>
    </row>
    <row r="110" spans="1:15" x14ac:dyDescent="0.35">
      <c r="A110">
        <v>50</v>
      </c>
      <c r="B110">
        <v>0</v>
      </c>
      <c r="C110">
        <v>0</v>
      </c>
      <c r="D110">
        <v>1</v>
      </c>
      <c r="E110">
        <v>217</v>
      </c>
      <c r="F110">
        <f>ROUND(Source!AU91,O110)</f>
        <v>0</v>
      </c>
      <c r="G110" t="s">
        <v>179</v>
      </c>
      <c r="H110" t="s">
        <v>180</v>
      </c>
      <c r="K110">
        <v>217</v>
      </c>
      <c r="L110">
        <v>18</v>
      </c>
      <c r="M110">
        <v>3</v>
      </c>
      <c r="O110">
        <v>2</v>
      </c>
    </row>
    <row r="111" spans="1:15" x14ac:dyDescent="0.35">
      <c r="A111">
        <v>50</v>
      </c>
      <c r="B111">
        <v>0</v>
      </c>
      <c r="C111">
        <v>0</v>
      </c>
      <c r="D111">
        <v>1</v>
      </c>
      <c r="E111">
        <v>230</v>
      </c>
      <c r="F111">
        <f>ROUND(Source!BA91,O111)</f>
        <v>0</v>
      </c>
      <c r="G111" t="s">
        <v>181</v>
      </c>
      <c r="H111" t="s">
        <v>182</v>
      </c>
      <c r="K111">
        <v>230</v>
      </c>
      <c r="L111">
        <v>19</v>
      </c>
      <c r="M111">
        <v>3</v>
      </c>
      <c r="O111">
        <v>2</v>
      </c>
    </row>
    <row r="112" spans="1:15" x14ac:dyDescent="0.35">
      <c r="A112">
        <v>50</v>
      </c>
      <c r="B112">
        <v>0</v>
      </c>
      <c r="C112">
        <v>0</v>
      </c>
      <c r="D112">
        <v>1</v>
      </c>
      <c r="E112">
        <v>206</v>
      </c>
      <c r="F112">
        <f>ROUND(Source!T91,O112)</f>
        <v>0</v>
      </c>
      <c r="G112" t="s">
        <v>183</v>
      </c>
      <c r="H112" t="s">
        <v>184</v>
      </c>
      <c r="K112">
        <v>206</v>
      </c>
      <c r="L112">
        <v>20</v>
      </c>
      <c r="M112">
        <v>3</v>
      </c>
      <c r="O112">
        <v>2</v>
      </c>
    </row>
    <row r="113" spans="1:206" x14ac:dyDescent="0.35">
      <c r="A113">
        <v>50</v>
      </c>
      <c r="B113">
        <v>0</v>
      </c>
      <c r="C113">
        <v>0</v>
      </c>
      <c r="D113">
        <v>1</v>
      </c>
      <c r="E113">
        <v>207</v>
      </c>
      <c r="F113">
        <f>Source!U91</f>
        <v>31.901518320000001</v>
      </c>
      <c r="G113" t="s">
        <v>185</v>
      </c>
      <c r="H113" t="s">
        <v>186</v>
      </c>
      <c r="K113">
        <v>207</v>
      </c>
      <c r="L113">
        <v>21</v>
      </c>
      <c r="M113">
        <v>3</v>
      </c>
      <c r="O113">
        <v>-1</v>
      </c>
    </row>
    <row r="114" spans="1:206" x14ac:dyDescent="0.35">
      <c r="A114">
        <v>50</v>
      </c>
      <c r="B114">
        <v>0</v>
      </c>
      <c r="C114">
        <v>0</v>
      </c>
      <c r="D114">
        <v>1</v>
      </c>
      <c r="E114">
        <v>208</v>
      </c>
      <c r="F114">
        <f>Source!V91</f>
        <v>0</v>
      </c>
      <c r="G114" t="s">
        <v>187</v>
      </c>
      <c r="H114" t="s">
        <v>188</v>
      </c>
      <c r="K114">
        <v>208</v>
      </c>
      <c r="L114">
        <v>22</v>
      </c>
      <c r="M114">
        <v>3</v>
      </c>
      <c r="O114">
        <v>-1</v>
      </c>
    </row>
    <row r="115" spans="1:206" x14ac:dyDescent="0.35">
      <c r="A115">
        <v>50</v>
      </c>
      <c r="B115">
        <v>0</v>
      </c>
      <c r="C115">
        <v>0</v>
      </c>
      <c r="D115">
        <v>1</v>
      </c>
      <c r="E115">
        <v>209</v>
      </c>
      <c r="F115">
        <f>ROUND(Source!W91,O115)</f>
        <v>0</v>
      </c>
      <c r="G115" t="s">
        <v>189</v>
      </c>
      <c r="H115" t="s">
        <v>190</v>
      </c>
      <c r="K115">
        <v>209</v>
      </c>
      <c r="L115">
        <v>23</v>
      </c>
      <c r="M115">
        <v>3</v>
      </c>
      <c r="O115">
        <v>2</v>
      </c>
    </row>
    <row r="116" spans="1:206" x14ac:dyDescent="0.35">
      <c r="A116">
        <v>50</v>
      </c>
      <c r="B116">
        <v>0</v>
      </c>
      <c r="C116">
        <v>0</v>
      </c>
      <c r="D116">
        <v>1</v>
      </c>
      <c r="E116">
        <v>210</v>
      </c>
      <c r="F116">
        <f>ROUND(Source!X91,O116)</f>
        <v>0</v>
      </c>
      <c r="G116" t="s">
        <v>191</v>
      </c>
      <c r="H116" t="s">
        <v>192</v>
      </c>
      <c r="K116">
        <v>210</v>
      </c>
      <c r="L116">
        <v>24</v>
      </c>
      <c r="M116">
        <v>3</v>
      </c>
      <c r="O116">
        <v>2</v>
      </c>
    </row>
    <row r="117" spans="1:206" x14ac:dyDescent="0.35">
      <c r="A117">
        <v>50</v>
      </c>
      <c r="B117">
        <v>0</v>
      </c>
      <c r="C117">
        <v>0</v>
      </c>
      <c r="D117">
        <v>1</v>
      </c>
      <c r="E117">
        <v>211</v>
      </c>
      <c r="F117">
        <f>ROUND(Source!Y91,O117)</f>
        <v>0</v>
      </c>
      <c r="G117" t="s">
        <v>193</v>
      </c>
      <c r="H117" t="s">
        <v>194</v>
      </c>
      <c r="K117">
        <v>211</v>
      </c>
      <c r="L117">
        <v>25</v>
      </c>
      <c r="M117">
        <v>3</v>
      </c>
      <c r="O117">
        <v>2</v>
      </c>
    </row>
    <row r="118" spans="1:206" x14ac:dyDescent="0.35">
      <c r="A118">
        <v>50</v>
      </c>
      <c r="B118">
        <v>0</v>
      </c>
      <c r="C118">
        <v>0</v>
      </c>
      <c r="D118">
        <v>1</v>
      </c>
      <c r="E118">
        <v>224</v>
      </c>
      <c r="F118">
        <f>ROUND(Source!AR91,O118)</f>
        <v>33410.99</v>
      </c>
      <c r="G118" t="s">
        <v>195</v>
      </c>
      <c r="H118" t="s">
        <v>196</v>
      </c>
      <c r="K118">
        <v>224</v>
      </c>
      <c r="L118">
        <v>26</v>
      </c>
      <c r="M118">
        <v>3</v>
      </c>
      <c r="O118">
        <v>2</v>
      </c>
    </row>
    <row r="120" spans="1:206" x14ac:dyDescent="0.35">
      <c r="A120">
        <v>51</v>
      </c>
      <c r="B120">
        <f>B20</f>
        <v>1</v>
      </c>
      <c r="C120">
        <f>A20</f>
        <v>3</v>
      </c>
      <c r="D120">
        <f>ROW(A20)</f>
        <v>20</v>
      </c>
      <c r="F120" t="str">
        <f>IF(F20&lt;&gt;"",F20,"")</f>
        <v/>
      </c>
      <c r="G120" t="str">
        <f>IF(G20&lt;&gt;"",G20,"")</f>
        <v>Козино - дорога</v>
      </c>
      <c r="H120">
        <v>0</v>
      </c>
      <c r="O120">
        <f t="shared" ref="O120:T120" si="67">ROUND(O55+O91+AB120,2)</f>
        <v>1632700.56</v>
      </c>
      <c r="P120">
        <f t="shared" si="67"/>
        <v>1090023.72</v>
      </c>
      <c r="Q120">
        <f t="shared" si="67"/>
        <v>353668.29</v>
      </c>
      <c r="R120">
        <f t="shared" si="67"/>
        <v>96834.12</v>
      </c>
      <c r="S120">
        <f t="shared" si="67"/>
        <v>189008.55</v>
      </c>
      <c r="T120">
        <f t="shared" si="67"/>
        <v>0</v>
      </c>
      <c r="U120">
        <f>U55+U91+AH120</f>
        <v>899.93347031999997</v>
      </c>
      <c r="V120">
        <f>V55+V91+AI120</f>
        <v>322.76300075</v>
      </c>
      <c r="W120">
        <f>ROUND(W55+W91+AJ120,2)</f>
        <v>12245.94</v>
      </c>
      <c r="X120">
        <f>ROUND(X55+X91+AK120,2)</f>
        <v>302764.73</v>
      </c>
      <c r="Y120">
        <f>ROUND(Y55+Y91+AL120,2)</f>
        <v>180223.41</v>
      </c>
      <c r="AO120">
        <f t="shared" ref="AO120:BC120" si="68">ROUND(AO55+AO91+BX120,2)</f>
        <v>0</v>
      </c>
      <c r="AP120">
        <f t="shared" si="68"/>
        <v>0</v>
      </c>
      <c r="AQ120">
        <f t="shared" si="68"/>
        <v>0</v>
      </c>
      <c r="AR120">
        <f t="shared" si="68"/>
        <v>2115688.7000000002</v>
      </c>
      <c r="AS120">
        <f t="shared" si="68"/>
        <v>2115688.7000000002</v>
      </c>
      <c r="AT120">
        <f t="shared" si="68"/>
        <v>0</v>
      </c>
      <c r="AU120">
        <f t="shared" si="68"/>
        <v>0</v>
      </c>
      <c r="AV120">
        <f t="shared" si="68"/>
        <v>1090023.72</v>
      </c>
      <c r="AW120">
        <f t="shared" si="68"/>
        <v>1090023.72</v>
      </c>
      <c r="AX120">
        <f t="shared" si="68"/>
        <v>0</v>
      </c>
      <c r="AY120">
        <f t="shared" si="68"/>
        <v>1090023.72</v>
      </c>
      <c r="AZ120">
        <f t="shared" si="68"/>
        <v>0</v>
      </c>
      <c r="BA120">
        <f t="shared" si="68"/>
        <v>0</v>
      </c>
      <c r="BB120">
        <f t="shared" si="68"/>
        <v>0</v>
      </c>
      <c r="BC120">
        <f t="shared" si="68"/>
        <v>0</v>
      </c>
      <c r="GX120">
        <v>0</v>
      </c>
    </row>
    <row r="122" spans="1:206" x14ac:dyDescent="0.35">
      <c r="A122">
        <v>50</v>
      </c>
      <c r="B122">
        <v>0</v>
      </c>
      <c r="C122">
        <v>0</v>
      </c>
      <c r="D122">
        <v>1</v>
      </c>
      <c r="E122">
        <v>201</v>
      </c>
      <c r="F122">
        <f>ROUND(Source!O120,O122)</f>
        <v>1632700.56</v>
      </c>
      <c r="G122" t="s">
        <v>145</v>
      </c>
      <c r="H122" t="s">
        <v>146</v>
      </c>
      <c r="K122">
        <v>201</v>
      </c>
      <c r="L122">
        <v>1</v>
      </c>
      <c r="M122">
        <v>3</v>
      </c>
      <c r="O122">
        <v>2</v>
      </c>
    </row>
    <row r="123" spans="1:206" x14ac:dyDescent="0.35">
      <c r="A123">
        <v>50</v>
      </c>
      <c r="B123">
        <v>0</v>
      </c>
      <c r="C123">
        <v>0</v>
      </c>
      <c r="D123">
        <v>1</v>
      </c>
      <c r="E123">
        <v>202</v>
      </c>
      <c r="F123">
        <f>ROUND(Source!P120,O123)</f>
        <v>1090023.72</v>
      </c>
      <c r="G123" t="s">
        <v>147</v>
      </c>
      <c r="H123" t="s">
        <v>148</v>
      </c>
      <c r="K123">
        <v>202</v>
      </c>
      <c r="L123">
        <v>2</v>
      </c>
      <c r="M123">
        <v>3</v>
      </c>
      <c r="O123">
        <v>2</v>
      </c>
    </row>
    <row r="124" spans="1:206" x14ac:dyDescent="0.35">
      <c r="A124">
        <v>50</v>
      </c>
      <c r="B124">
        <v>0</v>
      </c>
      <c r="C124">
        <v>0</v>
      </c>
      <c r="D124">
        <v>1</v>
      </c>
      <c r="E124">
        <v>222</v>
      </c>
      <c r="F124">
        <f>ROUND(Source!AO120,O124)</f>
        <v>0</v>
      </c>
      <c r="G124" t="s">
        <v>149</v>
      </c>
      <c r="H124" t="s">
        <v>150</v>
      </c>
      <c r="K124">
        <v>222</v>
      </c>
      <c r="L124">
        <v>3</v>
      </c>
      <c r="M124">
        <v>3</v>
      </c>
      <c r="O124">
        <v>2</v>
      </c>
    </row>
    <row r="125" spans="1:206" x14ac:dyDescent="0.35">
      <c r="A125">
        <v>50</v>
      </c>
      <c r="B125">
        <v>0</v>
      </c>
      <c r="C125">
        <v>0</v>
      </c>
      <c r="D125">
        <v>1</v>
      </c>
      <c r="E125">
        <v>225</v>
      </c>
      <c r="F125">
        <f>ROUND(Source!AV120,O125)</f>
        <v>1090023.72</v>
      </c>
      <c r="G125" t="s">
        <v>151</v>
      </c>
      <c r="H125" t="s">
        <v>152</v>
      </c>
      <c r="K125">
        <v>225</v>
      </c>
      <c r="L125">
        <v>4</v>
      </c>
      <c r="M125">
        <v>3</v>
      </c>
      <c r="O125">
        <v>2</v>
      </c>
    </row>
    <row r="126" spans="1:206" x14ac:dyDescent="0.35">
      <c r="A126">
        <v>50</v>
      </c>
      <c r="B126">
        <v>0</v>
      </c>
      <c r="C126">
        <v>0</v>
      </c>
      <c r="D126">
        <v>1</v>
      </c>
      <c r="E126">
        <v>226</v>
      </c>
      <c r="F126">
        <f>ROUND(Source!AW120,O126)</f>
        <v>1090023.72</v>
      </c>
      <c r="G126" t="s">
        <v>153</v>
      </c>
      <c r="H126" t="s">
        <v>154</v>
      </c>
      <c r="K126">
        <v>226</v>
      </c>
      <c r="L126">
        <v>5</v>
      </c>
      <c r="M126">
        <v>3</v>
      </c>
      <c r="O126">
        <v>2</v>
      </c>
    </row>
    <row r="127" spans="1:206" x14ac:dyDescent="0.35">
      <c r="A127">
        <v>50</v>
      </c>
      <c r="B127">
        <v>0</v>
      </c>
      <c r="C127">
        <v>0</v>
      </c>
      <c r="D127">
        <v>1</v>
      </c>
      <c r="E127">
        <v>227</v>
      </c>
      <c r="F127">
        <f>ROUND(Source!AX120,O127)</f>
        <v>0</v>
      </c>
      <c r="G127" t="s">
        <v>155</v>
      </c>
      <c r="H127" t="s">
        <v>156</v>
      </c>
      <c r="K127">
        <v>227</v>
      </c>
      <c r="L127">
        <v>6</v>
      </c>
      <c r="M127">
        <v>3</v>
      </c>
      <c r="O127">
        <v>2</v>
      </c>
    </row>
    <row r="128" spans="1:206" x14ac:dyDescent="0.35">
      <c r="A128">
        <v>50</v>
      </c>
      <c r="B128">
        <v>0</v>
      </c>
      <c r="C128">
        <v>0</v>
      </c>
      <c r="D128">
        <v>1</v>
      </c>
      <c r="E128">
        <v>228</v>
      </c>
      <c r="F128">
        <f>ROUND(Source!AY120,O128)</f>
        <v>1090023.72</v>
      </c>
      <c r="G128" t="s">
        <v>157</v>
      </c>
      <c r="H128" t="s">
        <v>158</v>
      </c>
      <c r="K128">
        <v>228</v>
      </c>
      <c r="L128">
        <v>7</v>
      </c>
      <c r="M128">
        <v>3</v>
      </c>
      <c r="O128">
        <v>2</v>
      </c>
    </row>
    <row r="129" spans="1:15" x14ac:dyDescent="0.35">
      <c r="A129">
        <v>50</v>
      </c>
      <c r="B129">
        <v>0</v>
      </c>
      <c r="C129">
        <v>0</v>
      </c>
      <c r="D129">
        <v>1</v>
      </c>
      <c r="E129">
        <v>216</v>
      </c>
      <c r="F129">
        <f>ROUND(Source!AP120,O129)</f>
        <v>0</v>
      </c>
      <c r="G129" t="s">
        <v>159</v>
      </c>
      <c r="H129" t="s">
        <v>160</v>
      </c>
      <c r="K129">
        <v>216</v>
      </c>
      <c r="L129">
        <v>8</v>
      </c>
      <c r="M129">
        <v>3</v>
      </c>
      <c r="O129">
        <v>2</v>
      </c>
    </row>
    <row r="130" spans="1:15" x14ac:dyDescent="0.35">
      <c r="A130">
        <v>50</v>
      </c>
      <c r="B130">
        <v>0</v>
      </c>
      <c r="C130">
        <v>0</v>
      </c>
      <c r="D130">
        <v>1</v>
      </c>
      <c r="E130">
        <v>223</v>
      </c>
      <c r="F130">
        <f>ROUND(Source!AQ120,O130)</f>
        <v>0</v>
      </c>
      <c r="G130" t="s">
        <v>161</v>
      </c>
      <c r="H130" t="s">
        <v>162</v>
      </c>
      <c r="K130">
        <v>223</v>
      </c>
      <c r="L130">
        <v>9</v>
      </c>
      <c r="M130">
        <v>3</v>
      </c>
      <c r="O130">
        <v>2</v>
      </c>
    </row>
    <row r="131" spans="1:15" x14ac:dyDescent="0.35">
      <c r="A131">
        <v>50</v>
      </c>
      <c r="B131">
        <v>0</v>
      </c>
      <c r="C131">
        <v>0</v>
      </c>
      <c r="D131">
        <v>1</v>
      </c>
      <c r="E131">
        <v>229</v>
      </c>
      <c r="F131">
        <f>ROUND(Source!AZ120,O131)</f>
        <v>0</v>
      </c>
      <c r="G131" t="s">
        <v>163</v>
      </c>
      <c r="H131" t="s">
        <v>164</v>
      </c>
      <c r="K131">
        <v>229</v>
      </c>
      <c r="L131">
        <v>10</v>
      </c>
      <c r="M131">
        <v>3</v>
      </c>
      <c r="O131">
        <v>2</v>
      </c>
    </row>
    <row r="132" spans="1:15" x14ac:dyDescent="0.35">
      <c r="A132">
        <v>50</v>
      </c>
      <c r="B132">
        <v>0</v>
      </c>
      <c r="C132">
        <v>0</v>
      </c>
      <c r="D132">
        <v>1</v>
      </c>
      <c r="E132">
        <v>203</v>
      </c>
      <c r="F132">
        <f>ROUND(Source!Q120,O132)</f>
        <v>353668.29</v>
      </c>
      <c r="G132" t="s">
        <v>165</v>
      </c>
      <c r="H132" t="s">
        <v>166</v>
      </c>
      <c r="K132">
        <v>203</v>
      </c>
      <c r="L132">
        <v>11</v>
      </c>
      <c r="M132">
        <v>3</v>
      </c>
      <c r="O132">
        <v>2</v>
      </c>
    </row>
    <row r="133" spans="1:15" x14ac:dyDescent="0.35">
      <c r="A133">
        <v>50</v>
      </c>
      <c r="B133">
        <v>0</v>
      </c>
      <c r="C133">
        <v>0</v>
      </c>
      <c r="D133">
        <v>1</v>
      </c>
      <c r="E133">
        <v>231</v>
      </c>
      <c r="F133">
        <f>ROUND(Source!BB120,O133)</f>
        <v>0</v>
      </c>
      <c r="G133" t="s">
        <v>167</v>
      </c>
      <c r="H133" t="s">
        <v>168</v>
      </c>
      <c r="K133">
        <v>231</v>
      </c>
      <c r="L133">
        <v>12</v>
      </c>
      <c r="M133">
        <v>3</v>
      </c>
      <c r="O133">
        <v>2</v>
      </c>
    </row>
    <row r="134" spans="1:15" x14ac:dyDescent="0.35">
      <c r="A134">
        <v>50</v>
      </c>
      <c r="B134">
        <v>0</v>
      </c>
      <c r="C134">
        <v>0</v>
      </c>
      <c r="D134">
        <v>1</v>
      </c>
      <c r="E134">
        <v>204</v>
      </c>
      <c r="F134">
        <f>ROUND(Source!R120,O134)</f>
        <v>96834.12</v>
      </c>
      <c r="G134" t="s">
        <v>169</v>
      </c>
      <c r="H134" t="s">
        <v>170</v>
      </c>
      <c r="K134">
        <v>204</v>
      </c>
      <c r="L134">
        <v>13</v>
      </c>
      <c r="M134">
        <v>3</v>
      </c>
      <c r="O134">
        <v>2</v>
      </c>
    </row>
    <row r="135" spans="1:15" x14ac:dyDescent="0.35">
      <c r="A135">
        <v>50</v>
      </c>
      <c r="B135">
        <v>0</v>
      </c>
      <c r="C135">
        <v>0</v>
      </c>
      <c r="D135">
        <v>1</v>
      </c>
      <c r="E135">
        <v>205</v>
      </c>
      <c r="F135">
        <f>ROUND(Source!S120,O135)</f>
        <v>189008.55</v>
      </c>
      <c r="G135" t="s">
        <v>171</v>
      </c>
      <c r="H135" t="s">
        <v>172</v>
      </c>
      <c r="K135">
        <v>205</v>
      </c>
      <c r="L135">
        <v>14</v>
      </c>
      <c r="M135">
        <v>3</v>
      </c>
      <c r="O135">
        <v>2</v>
      </c>
    </row>
    <row r="136" spans="1:15" x14ac:dyDescent="0.35">
      <c r="A136">
        <v>50</v>
      </c>
      <c r="B136">
        <v>0</v>
      </c>
      <c r="C136">
        <v>0</v>
      </c>
      <c r="D136">
        <v>1</v>
      </c>
      <c r="E136">
        <v>232</v>
      </c>
      <c r="F136">
        <f>ROUND(Source!BC120,O136)</f>
        <v>0</v>
      </c>
      <c r="G136" t="s">
        <v>173</v>
      </c>
      <c r="H136" t="s">
        <v>174</v>
      </c>
      <c r="K136">
        <v>232</v>
      </c>
      <c r="L136">
        <v>15</v>
      </c>
      <c r="M136">
        <v>3</v>
      </c>
      <c r="O136">
        <v>2</v>
      </c>
    </row>
    <row r="137" spans="1:15" x14ac:dyDescent="0.35">
      <c r="A137">
        <v>50</v>
      </c>
      <c r="B137">
        <v>0</v>
      </c>
      <c r="C137">
        <v>0</v>
      </c>
      <c r="D137">
        <v>1</v>
      </c>
      <c r="E137">
        <v>214</v>
      </c>
      <c r="F137">
        <f>ROUND(Source!AS120,O137)</f>
        <v>2115688.7000000002</v>
      </c>
      <c r="G137" t="s">
        <v>175</v>
      </c>
      <c r="H137" t="s">
        <v>176</v>
      </c>
      <c r="K137">
        <v>214</v>
      </c>
      <c r="L137">
        <v>16</v>
      </c>
      <c r="M137">
        <v>3</v>
      </c>
      <c r="O137">
        <v>2</v>
      </c>
    </row>
    <row r="138" spans="1:15" x14ac:dyDescent="0.35">
      <c r="A138">
        <v>50</v>
      </c>
      <c r="B138">
        <v>0</v>
      </c>
      <c r="C138">
        <v>0</v>
      </c>
      <c r="D138">
        <v>1</v>
      </c>
      <c r="E138">
        <v>215</v>
      </c>
      <c r="F138">
        <f>ROUND(Source!AT120,O138)</f>
        <v>0</v>
      </c>
      <c r="G138" t="s">
        <v>177</v>
      </c>
      <c r="H138" t="s">
        <v>178</v>
      </c>
      <c r="K138">
        <v>215</v>
      </c>
      <c r="L138">
        <v>17</v>
      </c>
      <c r="M138">
        <v>3</v>
      </c>
      <c r="O138">
        <v>2</v>
      </c>
    </row>
    <row r="139" spans="1:15" x14ac:dyDescent="0.35">
      <c r="A139">
        <v>50</v>
      </c>
      <c r="B139">
        <v>0</v>
      </c>
      <c r="C139">
        <v>0</v>
      </c>
      <c r="D139">
        <v>1</v>
      </c>
      <c r="E139">
        <v>217</v>
      </c>
      <c r="F139">
        <f>ROUND(Source!AU120,O139)</f>
        <v>0</v>
      </c>
      <c r="G139" t="s">
        <v>179</v>
      </c>
      <c r="H139" t="s">
        <v>180</v>
      </c>
      <c r="K139">
        <v>217</v>
      </c>
      <c r="L139">
        <v>18</v>
      </c>
      <c r="M139">
        <v>3</v>
      </c>
      <c r="O139">
        <v>2</v>
      </c>
    </row>
    <row r="140" spans="1:15" x14ac:dyDescent="0.35">
      <c r="A140">
        <v>50</v>
      </c>
      <c r="B140">
        <v>0</v>
      </c>
      <c r="C140">
        <v>0</v>
      </c>
      <c r="D140">
        <v>1</v>
      </c>
      <c r="E140">
        <v>230</v>
      </c>
      <c r="F140">
        <f>ROUND(Source!BA120,O140)</f>
        <v>0</v>
      </c>
      <c r="G140" t="s">
        <v>181</v>
      </c>
      <c r="H140" t="s">
        <v>182</v>
      </c>
      <c r="K140">
        <v>230</v>
      </c>
      <c r="L140">
        <v>19</v>
      </c>
      <c r="M140">
        <v>3</v>
      </c>
      <c r="O140">
        <v>2</v>
      </c>
    </row>
    <row r="141" spans="1:15" x14ac:dyDescent="0.35">
      <c r="A141">
        <v>50</v>
      </c>
      <c r="B141">
        <v>0</v>
      </c>
      <c r="C141">
        <v>0</v>
      </c>
      <c r="D141">
        <v>1</v>
      </c>
      <c r="E141">
        <v>206</v>
      </c>
      <c r="F141">
        <f>ROUND(Source!T120,O141)</f>
        <v>0</v>
      </c>
      <c r="G141" t="s">
        <v>183</v>
      </c>
      <c r="H141" t="s">
        <v>184</v>
      </c>
      <c r="K141">
        <v>206</v>
      </c>
      <c r="L141">
        <v>20</v>
      </c>
      <c r="M141">
        <v>3</v>
      </c>
      <c r="O141">
        <v>2</v>
      </c>
    </row>
    <row r="142" spans="1:15" x14ac:dyDescent="0.35">
      <c r="A142">
        <v>50</v>
      </c>
      <c r="B142">
        <v>0</v>
      </c>
      <c r="C142">
        <v>0</v>
      </c>
      <c r="D142">
        <v>1</v>
      </c>
      <c r="E142">
        <v>207</v>
      </c>
      <c r="F142">
        <f>Source!U120</f>
        <v>899.93347031999997</v>
      </c>
      <c r="G142" t="s">
        <v>185</v>
      </c>
      <c r="H142" t="s">
        <v>186</v>
      </c>
      <c r="K142">
        <v>207</v>
      </c>
      <c r="L142">
        <v>21</v>
      </c>
      <c r="M142">
        <v>3</v>
      </c>
      <c r="O142">
        <v>-1</v>
      </c>
    </row>
    <row r="143" spans="1:15" x14ac:dyDescent="0.35">
      <c r="A143">
        <v>50</v>
      </c>
      <c r="B143">
        <v>0</v>
      </c>
      <c r="C143">
        <v>0</v>
      </c>
      <c r="D143">
        <v>1</v>
      </c>
      <c r="E143">
        <v>208</v>
      </c>
      <c r="F143">
        <f>Source!V120</f>
        <v>322.76300075</v>
      </c>
      <c r="G143" t="s">
        <v>187</v>
      </c>
      <c r="H143" t="s">
        <v>188</v>
      </c>
      <c r="K143">
        <v>208</v>
      </c>
      <c r="L143">
        <v>22</v>
      </c>
      <c r="M143">
        <v>3</v>
      </c>
      <c r="O143">
        <v>-1</v>
      </c>
    </row>
    <row r="144" spans="1:15" x14ac:dyDescent="0.35">
      <c r="A144">
        <v>50</v>
      </c>
      <c r="B144">
        <v>0</v>
      </c>
      <c r="C144">
        <v>0</v>
      </c>
      <c r="D144">
        <v>1</v>
      </c>
      <c r="E144">
        <v>209</v>
      </c>
      <c r="F144">
        <f>ROUND(Source!W120,O144)</f>
        <v>12245.94</v>
      </c>
      <c r="G144" t="s">
        <v>189</v>
      </c>
      <c r="H144" t="s">
        <v>190</v>
      </c>
      <c r="K144">
        <v>209</v>
      </c>
      <c r="L144">
        <v>23</v>
      </c>
      <c r="M144">
        <v>3</v>
      </c>
      <c r="O144">
        <v>2</v>
      </c>
    </row>
    <row r="145" spans="1:206" x14ac:dyDescent="0.35">
      <c r="A145">
        <v>50</v>
      </c>
      <c r="B145">
        <v>0</v>
      </c>
      <c r="C145">
        <v>0</v>
      </c>
      <c r="D145">
        <v>1</v>
      </c>
      <c r="E145">
        <v>210</v>
      </c>
      <c r="F145">
        <f>ROUND(Source!X120,O145)</f>
        <v>302764.73</v>
      </c>
      <c r="G145" t="s">
        <v>191</v>
      </c>
      <c r="H145" t="s">
        <v>192</v>
      </c>
      <c r="K145">
        <v>210</v>
      </c>
      <c r="L145">
        <v>24</v>
      </c>
      <c r="M145">
        <v>3</v>
      </c>
      <c r="O145">
        <v>2</v>
      </c>
    </row>
    <row r="146" spans="1:206" x14ac:dyDescent="0.35">
      <c r="A146">
        <v>50</v>
      </c>
      <c r="B146">
        <v>0</v>
      </c>
      <c r="C146">
        <v>0</v>
      </c>
      <c r="D146">
        <v>1</v>
      </c>
      <c r="E146">
        <v>211</v>
      </c>
      <c r="F146">
        <f>ROUND(Source!Y120,O146)</f>
        <v>180223.41</v>
      </c>
      <c r="G146" t="s">
        <v>193</v>
      </c>
      <c r="H146" t="s">
        <v>194</v>
      </c>
      <c r="K146">
        <v>211</v>
      </c>
      <c r="L146">
        <v>25</v>
      </c>
      <c r="M146">
        <v>3</v>
      </c>
      <c r="O146">
        <v>2</v>
      </c>
    </row>
    <row r="147" spans="1:206" x14ac:dyDescent="0.35">
      <c r="A147">
        <v>50</v>
      </c>
      <c r="B147">
        <v>0</v>
      </c>
      <c r="C147">
        <v>0</v>
      </c>
      <c r="D147">
        <v>1</v>
      </c>
      <c r="E147">
        <v>224</v>
      </c>
      <c r="F147">
        <f>ROUND(Source!AR120,O147)</f>
        <v>2115688.7000000002</v>
      </c>
      <c r="G147" t="s">
        <v>195</v>
      </c>
      <c r="H147" t="s">
        <v>196</v>
      </c>
      <c r="K147">
        <v>224</v>
      </c>
      <c r="L147">
        <v>26</v>
      </c>
      <c r="M147">
        <v>3</v>
      </c>
      <c r="O147">
        <v>2</v>
      </c>
    </row>
    <row r="149" spans="1:206" x14ac:dyDescent="0.35">
      <c r="A149">
        <v>51</v>
      </c>
      <c r="B149">
        <f>B12</f>
        <v>249</v>
      </c>
      <c r="C149">
        <f>A12</f>
        <v>1</v>
      </c>
      <c r="D149">
        <f>ROW(A12)</f>
        <v>12</v>
      </c>
      <c r="F149" t="str">
        <f>IF(F12&lt;&gt;"",F12,"")</f>
        <v>Новый объект</v>
      </c>
      <c r="G149" t="str">
        <f>IF(G12&lt;&gt;"",G12,"")</f>
        <v>№380-24.10.17 - текущие цены</v>
      </c>
      <c r="H149">
        <v>0</v>
      </c>
      <c r="O149">
        <f t="shared" ref="O149:T149" si="69">ROUND(O120,2)</f>
        <v>1632700.56</v>
      </c>
      <c r="P149">
        <f t="shared" si="69"/>
        <v>1090023.72</v>
      </c>
      <c r="Q149">
        <f t="shared" si="69"/>
        <v>353668.29</v>
      </c>
      <c r="R149">
        <f t="shared" si="69"/>
        <v>96834.12</v>
      </c>
      <c r="S149">
        <f t="shared" si="69"/>
        <v>189008.55</v>
      </c>
      <c r="T149">
        <f t="shared" si="69"/>
        <v>0</v>
      </c>
      <c r="U149">
        <f>U120</f>
        <v>899.93347031999997</v>
      </c>
      <c r="V149">
        <f>V120</f>
        <v>322.76300075</v>
      </c>
      <c r="W149">
        <f>ROUND(W120,2)</f>
        <v>12245.94</v>
      </c>
      <c r="X149">
        <f>ROUND(X120,2)</f>
        <v>302764.73</v>
      </c>
      <c r="Y149">
        <f>ROUND(Y120,2)</f>
        <v>180223.41</v>
      </c>
      <c r="AO149">
        <f t="shared" ref="AO149:BC149" si="70">ROUND(AO120,2)</f>
        <v>0</v>
      </c>
      <c r="AP149">
        <f t="shared" si="70"/>
        <v>0</v>
      </c>
      <c r="AQ149">
        <f t="shared" si="70"/>
        <v>0</v>
      </c>
      <c r="AR149">
        <f t="shared" si="70"/>
        <v>2115688.7000000002</v>
      </c>
      <c r="AS149">
        <f t="shared" si="70"/>
        <v>2115688.7000000002</v>
      </c>
      <c r="AT149">
        <f t="shared" si="70"/>
        <v>0</v>
      </c>
      <c r="AU149">
        <f t="shared" si="70"/>
        <v>0</v>
      </c>
      <c r="AV149">
        <f t="shared" si="70"/>
        <v>1090023.72</v>
      </c>
      <c r="AW149">
        <f t="shared" si="70"/>
        <v>1090023.72</v>
      </c>
      <c r="AX149">
        <f t="shared" si="70"/>
        <v>0</v>
      </c>
      <c r="AY149">
        <f t="shared" si="70"/>
        <v>1090023.72</v>
      </c>
      <c r="AZ149">
        <f t="shared" si="70"/>
        <v>0</v>
      </c>
      <c r="BA149">
        <f t="shared" si="70"/>
        <v>0</v>
      </c>
      <c r="BB149">
        <f t="shared" si="70"/>
        <v>0</v>
      </c>
      <c r="BC149">
        <f t="shared" si="70"/>
        <v>0</v>
      </c>
      <c r="GX149">
        <v>0</v>
      </c>
    </row>
    <row r="151" spans="1:206" x14ac:dyDescent="0.35">
      <c r="A151">
        <v>50</v>
      </c>
      <c r="B151">
        <v>0</v>
      </c>
      <c r="C151">
        <v>0</v>
      </c>
      <c r="D151">
        <v>1</v>
      </c>
      <c r="E151">
        <v>201</v>
      </c>
      <c r="F151">
        <f>ROUND(Source!O149,O151)</f>
        <v>1632700.56</v>
      </c>
      <c r="G151" t="s">
        <v>145</v>
      </c>
      <c r="H151" t="s">
        <v>146</v>
      </c>
      <c r="K151">
        <v>201</v>
      </c>
      <c r="L151">
        <v>1</v>
      </c>
      <c r="M151">
        <v>3</v>
      </c>
      <c r="O151">
        <v>2</v>
      </c>
    </row>
    <row r="152" spans="1:206" x14ac:dyDescent="0.35">
      <c r="A152">
        <v>50</v>
      </c>
      <c r="B152">
        <v>0</v>
      </c>
      <c r="C152">
        <v>0</v>
      </c>
      <c r="D152">
        <v>1</v>
      </c>
      <c r="E152">
        <v>202</v>
      </c>
      <c r="F152">
        <f>ROUND(Source!P149,O152)</f>
        <v>1090023.72</v>
      </c>
      <c r="G152" t="s">
        <v>147</v>
      </c>
      <c r="H152" t="s">
        <v>148</v>
      </c>
      <c r="K152">
        <v>202</v>
      </c>
      <c r="L152">
        <v>2</v>
      </c>
      <c r="M152">
        <v>3</v>
      </c>
      <c r="O152">
        <v>2</v>
      </c>
    </row>
    <row r="153" spans="1:206" x14ac:dyDescent="0.35">
      <c r="A153">
        <v>50</v>
      </c>
      <c r="B153">
        <v>0</v>
      </c>
      <c r="C153">
        <v>0</v>
      </c>
      <c r="D153">
        <v>1</v>
      </c>
      <c r="E153">
        <v>222</v>
      </c>
      <c r="F153">
        <f>ROUND(Source!AO149,O153)</f>
        <v>0</v>
      </c>
      <c r="G153" t="s">
        <v>149</v>
      </c>
      <c r="H153" t="s">
        <v>150</v>
      </c>
      <c r="K153">
        <v>222</v>
      </c>
      <c r="L153">
        <v>3</v>
      </c>
      <c r="M153">
        <v>3</v>
      </c>
      <c r="O153">
        <v>2</v>
      </c>
    </row>
    <row r="154" spans="1:206" x14ac:dyDescent="0.35">
      <c r="A154">
        <v>50</v>
      </c>
      <c r="B154">
        <v>0</v>
      </c>
      <c r="C154">
        <v>0</v>
      </c>
      <c r="D154">
        <v>1</v>
      </c>
      <c r="E154">
        <v>225</v>
      </c>
      <c r="F154">
        <f>ROUND(Source!AV149,O154)</f>
        <v>1090023.72</v>
      </c>
      <c r="G154" t="s">
        <v>151</v>
      </c>
      <c r="H154" t="s">
        <v>152</v>
      </c>
      <c r="K154">
        <v>225</v>
      </c>
      <c r="L154">
        <v>4</v>
      </c>
      <c r="M154">
        <v>3</v>
      </c>
      <c r="O154">
        <v>2</v>
      </c>
    </row>
    <row r="155" spans="1:206" x14ac:dyDescent="0.35">
      <c r="A155">
        <v>50</v>
      </c>
      <c r="B155">
        <v>0</v>
      </c>
      <c r="C155">
        <v>0</v>
      </c>
      <c r="D155">
        <v>1</v>
      </c>
      <c r="E155">
        <v>226</v>
      </c>
      <c r="F155">
        <f>ROUND(Source!AW149,O155)</f>
        <v>1090023.72</v>
      </c>
      <c r="G155" t="s">
        <v>153</v>
      </c>
      <c r="H155" t="s">
        <v>154</v>
      </c>
      <c r="K155">
        <v>226</v>
      </c>
      <c r="L155">
        <v>5</v>
      </c>
      <c r="M155">
        <v>3</v>
      </c>
      <c r="O155">
        <v>2</v>
      </c>
    </row>
    <row r="156" spans="1:206" x14ac:dyDescent="0.35">
      <c r="A156">
        <v>50</v>
      </c>
      <c r="B156">
        <v>0</v>
      </c>
      <c r="C156">
        <v>0</v>
      </c>
      <c r="D156">
        <v>1</v>
      </c>
      <c r="E156">
        <v>227</v>
      </c>
      <c r="F156">
        <f>ROUND(Source!AX149,O156)</f>
        <v>0</v>
      </c>
      <c r="G156" t="s">
        <v>155</v>
      </c>
      <c r="H156" t="s">
        <v>156</v>
      </c>
      <c r="K156">
        <v>227</v>
      </c>
      <c r="L156">
        <v>6</v>
      </c>
      <c r="M156">
        <v>3</v>
      </c>
      <c r="O156">
        <v>2</v>
      </c>
    </row>
    <row r="157" spans="1:206" x14ac:dyDescent="0.35">
      <c r="A157">
        <v>50</v>
      </c>
      <c r="B157">
        <v>0</v>
      </c>
      <c r="C157">
        <v>0</v>
      </c>
      <c r="D157">
        <v>1</v>
      </c>
      <c r="E157">
        <v>228</v>
      </c>
      <c r="F157">
        <f>ROUND(Source!AY149,O157)</f>
        <v>1090023.72</v>
      </c>
      <c r="G157" t="s">
        <v>157</v>
      </c>
      <c r="H157" t="s">
        <v>158</v>
      </c>
      <c r="K157">
        <v>228</v>
      </c>
      <c r="L157">
        <v>7</v>
      </c>
      <c r="M157">
        <v>3</v>
      </c>
      <c r="O157">
        <v>2</v>
      </c>
    </row>
    <row r="158" spans="1:206" x14ac:dyDescent="0.35">
      <c r="A158">
        <v>50</v>
      </c>
      <c r="B158">
        <v>0</v>
      </c>
      <c r="C158">
        <v>0</v>
      </c>
      <c r="D158">
        <v>1</v>
      </c>
      <c r="E158">
        <v>216</v>
      </c>
      <c r="F158">
        <f>ROUND(Source!AP149,O158)</f>
        <v>0</v>
      </c>
      <c r="G158" t="s">
        <v>159</v>
      </c>
      <c r="H158" t="s">
        <v>160</v>
      </c>
      <c r="K158">
        <v>216</v>
      </c>
      <c r="L158">
        <v>8</v>
      </c>
      <c r="M158">
        <v>3</v>
      </c>
      <c r="O158">
        <v>2</v>
      </c>
    </row>
    <row r="159" spans="1:206" x14ac:dyDescent="0.35">
      <c r="A159">
        <v>50</v>
      </c>
      <c r="B159">
        <v>0</v>
      </c>
      <c r="C159">
        <v>0</v>
      </c>
      <c r="D159">
        <v>1</v>
      </c>
      <c r="E159">
        <v>223</v>
      </c>
      <c r="F159">
        <f>ROUND(Source!AQ149,O159)</f>
        <v>0</v>
      </c>
      <c r="G159" t="s">
        <v>161</v>
      </c>
      <c r="H159" t="s">
        <v>162</v>
      </c>
      <c r="K159">
        <v>223</v>
      </c>
      <c r="L159">
        <v>9</v>
      </c>
      <c r="M159">
        <v>3</v>
      </c>
      <c r="O159">
        <v>2</v>
      </c>
    </row>
    <row r="160" spans="1:206" x14ac:dyDescent="0.35">
      <c r="A160">
        <v>50</v>
      </c>
      <c r="B160">
        <v>0</v>
      </c>
      <c r="C160">
        <v>0</v>
      </c>
      <c r="D160">
        <v>1</v>
      </c>
      <c r="E160">
        <v>229</v>
      </c>
      <c r="F160">
        <f>ROUND(Source!AZ149,O160)</f>
        <v>0</v>
      </c>
      <c r="G160" t="s">
        <v>163</v>
      </c>
      <c r="H160" t="s">
        <v>164</v>
      </c>
      <c r="K160">
        <v>229</v>
      </c>
      <c r="L160">
        <v>10</v>
      </c>
      <c r="M160">
        <v>3</v>
      </c>
      <c r="O160">
        <v>2</v>
      </c>
    </row>
    <row r="161" spans="1:15" x14ac:dyDescent="0.35">
      <c r="A161">
        <v>50</v>
      </c>
      <c r="B161">
        <v>0</v>
      </c>
      <c r="C161">
        <v>0</v>
      </c>
      <c r="D161">
        <v>1</v>
      </c>
      <c r="E161">
        <v>203</v>
      </c>
      <c r="F161">
        <f>ROUND(Source!Q149,O161)</f>
        <v>353668.29</v>
      </c>
      <c r="G161" t="s">
        <v>165</v>
      </c>
      <c r="H161" t="s">
        <v>166</v>
      </c>
      <c r="K161">
        <v>203</v>
      </c>
      <c r="L161">
        <v>11</v>
      </c>
      <c r="M161">
        <v>3</v>
      </c>
      <c r="O161">
        <v>2</v>
      </c>
    </row>
    <row r="162" spans="1:15" x14ac:dyDescent="0.35">
      <c r="A162">
        <v>50</v>
      </c>
      <c r="B162">
        <v>0</v>
      </c>
      <c r="C162">
        <v>0</v>
      </c>
      <c r="D162">
        <v>1</v>
      </c>
      <c r="E162">
        <v>231</v>
      </c>
      <c r="F162">
        <f>ROUND(Source!BB149,O162)</f>
        <v>0</v>
      </c>
      <c r="G162" t="s">
        <v>167</v>
      </c>
      <c r="H162" t="s">
        <v>168</v>
      </c>
      <c r="K162">
        <v>231</v>
      </c>
      <c r="L162">
        <v>12</v>
      </c>
      <c r="M162">
        <v>3</v>
      </c>
      <c r="O162">
        <v>2</v>
      </c>
    </row>
    <row r="163" spans="1:15" x14ac:dyDescent="0.35">
      <c r="A163">
        <v>50</v>
      </c>
      <c r="B163">
        <v>0</v>
      </c>
      <c r="C163">
        <v>0</v>
      </c>
      <c r="D163">
        <v>1</v>
      </c>
      <c r="E163">
        <v>204</v>
      </c>
      <c r="F163">
        <f>ROUND(Source!R149,O163)</f>
        <v>96834.12</v>
      </c>
      <c r="G163" t="s">
        <v>169</v>
      </c>
      <c r="H163" t="s">
        <v>170</v>
      </c>
      <c r="K163">
        <v>204</v>
      </c>
      <c r="L163">
        <v>13</v>
      </c>
      <c r="M163">
        <v>3</v>
      </c>
      <c r="O163">
        <v>2</v>
      </c>
    </row>
    <row r="164" spans="1:15" x14ac:dyDescent="0.35">
      <c r="A164">
        <v>50</v>
      </c>
      <c r="B164">
        <v>0</v>
      </c>
      <c r="C164">
        <v>0</v>
      </c>
      <c r="D164">
        <v>1</v>
      </c>
      <c r="E164">
        <v>205</v>
      </c>
      <c r="F164">
        <f>ROUND(Source!S149,O164)</f>
        <v>189008.55</v>
      </c>
      <c r="G164" t="s">
        <v>171</v>
      </c>
      <c r="H164" t="s">
        <v>172</v>
      </c>
      <c r="K164">
        <v>205</v>
      </c>
      <c r="L164">
        <v>14</v>
      </c>
      <c r="M164">
        <v>3</v>
      </c>
      <c r="O164">
        <v>2</v>
      </c>
    </row>
    <row r="165" spans="1:15" x14ac:dyDescent="0.35">
      <c r="A165">
        <v>50</v>
      </c>
      <c r="B165">
        <v>0</v>
      </c>
      <c r="C165">
        <v>0</v>
      </c>
      <c r="D165">
        <v>1</v>
      </c>
      <c r="E165">
        <v>232</v>
      </c>
      <c r="F165">
        <f>ROUND(Source!BC149,O165)</f>
        <v>0</v>
      </c>
      <c r="G165" t="s">
        <v>173</v>
      </c>
      <c r="H165" t="s">
        <v>174</v>
      </c>
      <c r="K165">
        <v>232</v>
      </c>
      <c r="L165">
        <v>15</v>
      </c>
      <c r="M165">
        <v>3</v>
      </c>
      <c r="O165">
        <v>2</v>
      </c>
    </row>
    <row r="166" spans="1:15" x14ac:dyDescent="0.35">
      <c r="A166">
        <v>50</v>
      </c>
      <c r="B166">
        <v>0</v>
      </c>
      <c r="C166">
        <v>0</v>
      </c>
      <c r="D166">
        <v>1</v>
      </c>
      <c r="E166">
        <v>214</v>
      </c>
      <c r="F166">
        <f>ROUND(Source!AS149,O166)</f>
        <v>2115688.7000000002</v>
      </c>
      <c r="G166" t="s">
        <v>175</v>
      </c>
      <c r="H166" t="s">
        <v>176</v>
      </c>
      <c r="K166">
        <v>214</v>
      </c>
      <c r="L166">
        <v>16</v>
      </c>
      <c r="M166">
        <v>3</v>
      </c>
      <c r="O166">
        <v>2</v>
      </c>
    </row>
    <row r="167" spans="1:15" x14ac:dyDescent="0.35">
      <c r="A167">
        <v>50</v>
      </c>
      <c r="B167">
        <v>0</v>
      </c>
      <c r="C167">
        <v>0</v>
      </c>
      <c r="D167">
        <v>1</v>
      </c>
      <c r="E167">
        <v>215</v>
      </c>
      <c r="F167">
        <f>ROUND(Source!AT149,O167)</f>
        <v>0</v>
      </c>
      <c r="G167" t="s">
        <v>177</v>
      </c>
      <c r="H167" t="s">
        <v>178</v>
      </c>
      <c r="K167">
        <v>215</v>
      </c>
      <c r="L167">
        <v>17</v>
      </c>
      <c r="M167">
        <v>3</v>
      </c>
      <c r="O167">
        <v>2</v>
      </c>
    </row>
    <row r="168" spans="1:15" x14ac:dyDescent="0.35">
      <c r="A168">
        <v>50</v>
      </c>
      <c r="B168">
        <v>0</v>
      </c>
      <c r="C168">
        <v>0</v>
      </c>
      <c r="D168">
        <v>1</v>
      </c>
      <c r="E168">
        <v>217</v>
      </c>
      <c r="F168">
        <f>ROUND(Source!AU149,O168)</f>
        <v>0</v>
      </c>
      <c r="G168" t="s">
        <v>179</v>
      </c>
      <c r="H168" t="s">
        <v>180</v>
      </c>
      <c r="K168">
        <v>217</v>
      </c>
      <c r="L168">
        <v>18</v>
      </c>
      <c r="M168">
        <v>3</v>
      </c>
      <c r="O168">
        <v>2</v>
      </c>
    </row>
    <row r="169" spans="1:15" x14ac:dyDescent="0.35">
      <c r="A169">
        <v>50</v>
      </c>
      <c r="B169">
        <v>0</v>
      </c>
      <c r="C169">
        <v>0</v>
      </c>
      <c r="D169">
        <v>1</v>
      </c>
      <c r="E169">
        <v>230</v>
      </c>
      <c r="F169">
        <f>ROUND(Source!BA149,O169)</f>
        <v>0</v>
      </c>
      <c r="G169" t="s">
        <v>181</v>
      </c>
      <c r="H169" t="s">
        <v>182</v>
      </c>
      <c r="K169">
        <v>230</v>
      </c>
      <c r="L169">
        <v>19</v>
      </c>
      <c r="M169">
        <v>3</v>
      </c>
      <c r="O169">
        <v>2</v>
      </c>
    </row>
    <row r="170" spans="1:15" x14ac:dyDescent="0.35">
      <c r="A170">
        <v>50</v>
      </c>
      <c r="B170">
        <v>0</v>
      </c>
      <c r="C170">
        <v>0</v>
      </c>
      <c r="D170">
        <v>1</v>
      </c>
      <c r="E170">
        <v>206</v>
      </c>
      <c r="F170">
        <f>ROUND(Source!T149,O170)</f>
        <v>0</v>
      </c>
      <c r="G170" t="s">
        <v>183</v>
      </c>
      <c r="H170" t="s">
        <v>184</v>
      </c>
      <c r="K170">
        <v>206</v>
      </c>
      <c r="L170">
        <v>20</v>
      </c>
      <c r="M170">
        <v>3</v>
      </c>
      <c r="O170">
        <v>2</v>
      </c>
    </row>
    <row r="171" spans="1:15" x14ac:dyDescent="0.35">
      <c r="A171">
        <v>50</v>
      </c>
      <c r="B171">
        <v>0</v>
      </c>
      <c r="C171">
        <v>0</v>
      </c>
      <c r="D171">
        <v>1</v>
      </c>
      <c r="E171">
        <v>207</v>
      </c>
      <c r="F171">
        <f>Source!U149</f>
        <v>899.93347031999997</v>
      </c>
      <c r="G171" t="s">
        <v>185</v>
      </c>
      <c r="H171" t="s">
        <v>186</v>
      </c>
      <c r="K171">
        <v>207</v>
      </c>
      <c r="L171">
        <v>21</v>
      </c>
      <c r="M171">
        <v>3</v>
      </c>
      <c r="O171">
        <v>-1</v>
      </c>
    </row>
    <row r="172" spans="1:15" x14ac:dyDescent="0.35">
      <c r="A172">
        <v>50</v>
      </c>
      <c r="B172">
        <v>0</v>
      </c>
      <c r="C172">
        <v>0</v>
      </c>
      <c r="D172">
        <v>1</v>
      </c>
      <c r="E172">
        <v>208</v>
      </c>
      <c r="F172">
        <f>Source!V149</f>
        <v>322.76300075</v>
      </c>
      <c r="G172" t="s">
        <v>187</v>
      </c>
      <c r="H172" t="s">
        <v>188</v>
      </c>
      <c r="K172">
        <v>208</v>
      </c>
      <c r="L172">
        <v>22</v>
      </c>
      <c r="M172">
        <v>3</v>
      </c>
      <c r="O172">
        <v>-1</v>
      </c>
    </row>
    <row r="173" spans="1:15" x14ac:dyDescent="0.35">
      <c r="A173">
        <v>50</v>
      </c>
      <c r="B173">
        <v>0</v>
      </c>
      <c r="C173">
        <v>0</v>
      </c>
      <c r="D173">
        <v>1</v>
      </c>
      <c r="E173">
        <v>209</v>
      </c>
      <c r="F173">
        <f>ROUND(Source!W149,O173)</f>
        <v>12245.94</v>
      </c>
      <c r="G173" t="s">
        <v>189</v>
      </c>
      <c r="H173" t="s">
        <v>190</v>
      </c>
      <c r="K173">
        <v>209</v>
      </c>
      <c r="L173">
        <v>23</v>
      </c>
      <c r="M173">
        <v>3</v>
      </c>
      <c r="O173">
        <v>2</v>
      </c>
    </row>
    <row r="174" spans="1:15" x14ac:dyDescent="0.35">
      <c r="A174">
        <v>50</v>
      </c>
      <c r="B174">
        <v>0</v>
      </c>
      <c r="C174">
        <v>0</v>
      </c>
      <c r="D174">
        <v>1</v>
      </c>
      <c r="E174">
        <v>210</v>
      </c>
      <c r="F174">
        <f>ROUND(Source!X149,O174)</f>
        <v>302764.73</v>
      </c>
      <c r="G174" t="s">
        <v>191</v>
      </c>
      <c r="H174" t="s">
        <v>192</v>
      </c>
      <c r="K174">
        <v>210</v>
      </c>
      <c r="L174">
        <v>24</v>
      </c>
      <c r="M174">
        <v>3</v>
      </c>
      <c r="O174">
        <v>2</v>
      </c>
    </row>
    <row r="175" spans="1:15" x14ac:dyDescent="0.35">
      <c r="A175">
        <v>50</v>
      </c>
      <c r="B175">
        <v>0</v>
      </c>
      <c r="C175">
        <v>0</v>
      </c>
      <c r="D175">
        <v>1</v>
      </c>
      <c r="E175">
        <v>211</v>
      </c>
      <c r="F175">
        <f>ROUND(Source!Y149,O175)</f>
        <v>180223.41</v>
      </c>
      <c r="G175" t="s">
        <v>193</v>
      </c>
      <c r="H175" t="s">
        <v>194</v>
      </c>
      <c r="K175">
        <v>211</v>
      </c>
      <c r="L175">
        <v>25</v>
      </c>
      <c r="M175">
        <v>3</v>
      </c>
      <c r="O175">
        <v>2</v>
      </c>
    </row>
    <row r="176" spans="1:15" x14ac:dyDescent="0.35">
      <c r="A176">
        <v>50</v>
      </c>
      <c r="B176">
        <v>0</v>
      </c>
      <c r="C176">
        <v>0</v>
      </c>
      <c r="D176">
        <v>1</v>
      </c>
      <c r="E176">
        <v>224</v>
      </c>
      <c r="F176">
        <f>ROUND(Source!AR149,O176)</f>
        <v>2115688.7000000002</v>
      </c>
      <c r="G176" t="s">
        <v>195</v>
      </c>
      <c r="H176" t="s">
        <v>196</v>
      </c>
      <c r="K176">
        <v>224</v>
      </c>
      <c r="L176">
        <v>26</v>
      </c>
      <c r="M176">
        <v>3</v>
      </c>
      <c r="O176">
        <v>2</v>
      </c>
    </row>
    <row r="177" spans="1:15" x14ac:dyDescent="0.35">
      <c r="A177">
        <v>50</v>
      </c>
      <c r="B177">
        <v>1</v>
      </c>
      <c r="C177">
        <v>0</v>
      </c>
      <c r="D177">
        <v>2</v>
      </c>
      <c r="E177">
        <v>0</v>
      </c>
      <c r="F177">
        <f>ROUND(F176,O177)</f>
        <v>2115688.7000000002</v>
      </c>
      <c r="G177" t="s">
        <v>57</v>
      </c>
      <c r="H177" t="s">
        <v>204</v>
      </c>
      <c r="K177">
        <v>212</v>
      </c>
      <c r="L177">
        <v>27</v>
      </c>
      <c r="M177">
        <v>0</v>
      </c>
      <c r="O177">
        <v>2</v>
      </c>
    </row>
    <row r="178" spans="1:15" x14ac:dyDescent="0.35">
      <c r="A178">
        <v>50</v>
      </c>
      <c r="B178">
        <v>1</v>
      </c>
      <c r="C178">
        <v>0</v>
      </c>
      <c r="D178">
        <v>2</v>
      </c>
      <c r="E178">
        <v>0</v>
      </c>
      <c r="F178">
        <f>ROUND(F177*0.18,O178)</f>
        <v>380823.97</v>
      </c>
      <c r="G178" t="s">
        <v>72</v>
      </c>
      <c r="H178" t="s">
        <v>205</v>
      </c>
      <c r="K178">
        <v>212</v>
      </c>
      <c r="L178">
        <v>28</v>
      </c>
      <c r="M178">
        <v>0</v>
      </c>
      <c r="O178">
        <v>2</v>
      </c>
    </row>
    <row r="179" spans="1:15" x14ac:dyDescent="0.35">
      <c r="A179">
        <v>50</v>
      </c>
      <c r="B179">
        <v>1</v>
      </c>
      <c r="C179">
        <v>0</v>
      </c>
      <c r="D179">
        <v>2</v>
      </c>
      <c r="E179">
        <v>0</v>
      </c>
      <c r="F179">
        <f>ROUND(F177+F178,O179)</f>
        <v>2496512.67</v>
      </c>
      <c r="G179" t="s">
        <v>80</v>
      </c>
      <c r="H179" t="s">
        <v>206</v>
      </c>
      <c r="K179">
        <v>212</v>
      </c>
      <c r="L179">
        <v>29</v>
      </c>
      <c r="M179">
        <v>0</v>
      </c>
      <c r="O179">
        <v>2</v>
      </c>
    </row>
    <row r="181" spans="1:15" x14ac:dyDescent="0.35">
      <c r="A181">
        <v>61</v>
      </c>
      <c r="F181">
        <v>4</v>
      </c>
      <c r="G181" t="s">
        <v>207</v>
      </c>
      <c r="H181" t="s">
        <v>208</v>
      </c>
    </row>
    <row r="182" spans="1:15" x14ac:dyDescent="0.35">
      <c r="A182">
        <v>61</v>
      </c>
      <c r="F182">
        <v>5.25</v>
      </c>
      <c r="G182" t="s">
        <v>209</v>
      </c>
      <c r="H182" t="s">
        <v>208</v>
      </c>
    </row>
    <row r="183" spans="1:15" x14ac:dyDescent="0.35">
      <c r="A183">
        <v>61</v>
      </c>
      <c r="F183">
        <v>5</v>
      </c>
      <c r="G183" t="s">
        <v>210</v>
      </c>
      <c r="H183" t="s">
        <v>208</v>
      </c>
    </row>
    <row r="184" spans="1:15" x14ac:dyDescent="0.35">
      <c r="A184">
        <v>61</v>
      </c>
      <c r="F184">
        <v>6</v>
      </c>
      <c r="G184" t="s">
        <v>211</v>
      </c>
      <c r="H184" t="s">
        <v>208</v>
      </c>
    </row>
    <row r="185" spans="1:15" x14ac:dyDescent="0.35">
      <c r="A185">
        <v>61</v>
      </c>
      <c r="F185">
        <v>1</v>
      </c>
      <c r="G185" t="s">
        <v>212</v>
      </c>
      <c r="H185" t="s">
        <v>208</v>
      </c>
    </row>
    <row r="186" spans="1:15" x14ac:dyDescent="0.35">
      <c r="A186">
        <v>61</v>
      </c>
      <c r="F186">
        <v>5.0999999999999996</v>
      </c>
      <c r="G186" t="s">
        <v>213</v>
      </c>
      <c r="H186" t="s">
        <v>208</v>
      </c>
    </row>
    <row r="187" spans="1:15" x14ac:dyDescent="0.35">
      <c r="A187">
        <v>61</v>
      </c>
      <c r="F187">
        <v>4</v>
      </c>
      <c r="G187" t="s">
        <v>214</v>
      </c>
      <c r="H187" t="s">
        <v>208</v>
      </c>
    </row>
    <row r="188" spans="1:15" x14ac:dyDescent="0.35">
      <c r="A188">
        <v>61</v>
      </c>
      <c r="F188">
        <v>1</v>
      </c>
      <c r="G188" t="s">
        <v>215</v>
      </c>
      <c r="H188" t="s">
        <v>208</v>
      </c>
    </row>
    <row r="189" spans="1:15" x14ac:dyDescent="0.35">
      <c r="A189">
        <v>61</v>
      </c>
      <c r="F189">
        <v>3</v>
      </c>
      <c r="G189" t="s">
        <v>216</v>
      </c>
      <c r="H189" t="s">
        <v>208</v>
      </c>
    </row>
    <row r="190" spans="1:15" x14ac:dyDescent="0.35">
      <c r="A190">
        <v>61</v>
      </c>
      <c r="F190">
        <v>2</v>
      </c>
      <c r="G190" t="s">
        <v>217</v>
      </c>
      <c r="H190" t="s">
        <v>218</v>
      </c>
    </row>
    <row r="191" spans="1:15" x14ac:dyDescent="0.35">
      <c r="A191">
        <v>61</v>
      </c>
      <c r="F191">
        <v>10</v>
      </c>
      <c r="G191" t="s">
        <v>219</v>
      </c>
      <c r="H191" t="s">
        <v>220</v>
      </c>
    </row>
    <row r="192" spans="1:15" x14ac:dyDescent="0.35">
      <c r="A192">
        <v>61</v>
      </c>
      <c r="F192">
        <v>20</v>
      </c>
      <c r="G192" t="s">
        <v>221</v>
      </c>
      <c r="H192" t="s">
        <v>222</v>
      </c>
    </row>
    <row r="193" spans="1:8" x14ac:dyDescent="0.35">
      <c r="A193">
        <v>61</v>
      </c>
      <c r="F193">
        <v>30</v>
      </c>
      <c r="G193" t="s">
        <v>223</v>
      </c>
      <c r="H193" t="s">
        <v>224</v>
      </c>
    </row>
    <row r="194" spans="1:8" x14ac:dyDescent="0.35">
      <c r="A194">
        <v>61</v>
      </c>
      <c r="F194">
        <v>1</v>
      </c>
      <c r="G194" t="s">
        <v>225</v>
      </c>
      <c r="H194" t="s">
        <v>208</v>
      </c>
    </row>
    <row r="195" spans="1:8" x14ac:dyDescent="0.35">
      <c r="A195">
        <v>61</v>
      </c>
      <c r="F195">
        <v>3</v>
      </c>
      <c r="G195" t="s">
        <v>226</v>
      </c>
      <c r="H195" t="s">
        <v>227</v>
      </c>
    </row>
    <row r="196" spans="1:8" x14ac:dyDescent="0.35">
      <c r="A196">
        <v>61</v>
      </c>
      <c r="F196">
        <v>1</v>
      </c>
      <c r="G196" t="s">
        <v>228</v>
      </c>
      <c r="H196" t="s">
        <v>229</v>
      </c>
    </row>
    <row r="197" spans="1:8" x14ac:dyDescent="0.35">
      <c r="A197">
        <v>61</v>
      </c>
      <c r="F197">
        <v>12</v>
      </c>
      <c r="G197" t="s">
        <v>230</v>
      </c>
      <c r="H197" t="s">
        <v>208</v>
      </c>
    </row>
    <row r="198" spans="1:8" x14ac:dyDescent="0.35">
      <c r="A198">
        <v>61</v>
      </c>
      <c r="F198">
        <v>1</v>
      </c>
      <c r="G198" t="s">
        <v>231</v>
      </c>
      <c r="H198" t="s">
        <v>232</v>
      </c>
    </row>
    <row r="199" spans="1:8" x14ac:dyDescent="0.35">
      <c r="A199">
        <v>61</v>
      </c>
      <c r="F199">
        <v>0</v>
      </c>
      <c r="G199" t="s">
        <v>233</v>
      </c>
      <c r="H199" t="s">
        <v>208</v>
      </c>
    </row>
    <row r="200" spans="1:8" x14ac:dyDescent="0.35">
      <c r="A200">
        <v>61</v>
      </c>
      <c r="F200">
        <v>10</v>
      </c>
      <c r="G200" t="s">
        <v>234</v>
      </c>
      <c r="H200" t="s">
        <v>235</v>
      </c>
    </row>
    <row r="201" spans="1:8" x14ac:dyDescent="0.35">
      <c r="A201">
        <v>61</v>
      </c>
      <c r="F201">
        <v>77</v>
      </c>
      <c r="G201" t="s">
        <v>236</v>
      </c>
      <c r="H201" t="s">
        <v>208</v>
      </c>
    </row>
    <row r="202" spans="1:8" x14ac:dyDescent="0.35">
      <c r="A202">
        <v>61</v>
      </c>
      <c r="F202">
        <v>4</v>
      </c>
      <c r="G202" t="s">
        <v>237</v>
      </c>
      <c r="H202" t="s">
        <v>208</v>
      </c>
    </row>
    <row r="203" spans="1:8" x14ac:dyDescent="0.35">
      <c r="A203">
        <v>61</v>
      </c>
      <c r="F203">
        <v>50</v>
      </c>
      <c r="G203" t="s">
        <v>238</v>
      </c>
      <c r="H203" t="s">
        <v>239</v>
      </c>
    </row>
    <row r="204" spans="1:8" x14ac:dyDescent="0.35">
      <c r="A204">
        <v>61</v>
      </c>
      <c r="F204">
        <v>3.7</v>
      </c>
      <c r="G204" t="s">
        <v>240</v>
      </c>
      <c r="H204" t="s">
        <v>241</v>
      </c>
    </row>
    <row r="205" spans="1:8" x14ac:dyDescent="0.35">
      <c r="A205">
        <v>61</v>
      </c>
      <c r="F205">
        <v>0</v>
      </c>
      <c r="G205" t="s">
        <v>242</v>
      </c>
      <c r="H205" t="s">
        <v>208</v>
      </c>
    </row>
    <row r="206" spans="1:8" x14ac:dyDescent="0.35">
      <c r="A206">
        <v>61</v>
      </c>
      <c r="F206">
        <v>1</v>
      </c>
      <c r="G206" t="s">
        <v>243</v>
      </c>
      <c r="H206" t="s">
        <v>208</v>
      </c>
    </row>
    <row r="207" spans="1:8" x14ac:dyDescent="0.35">
      <c r="A207">
        <v>61</v>
      </c>
      <c r="F207">
        <v>3</v>
      </c>
      <c r="G207" t="s">
        <v>244</v>
      </c>
      <c r="H207" t="s">
        <v>245</v>
      </c>
    </row>
    <row r="208" spans="1:8" x14ac:dyDescent="0.35">
      <c r="A208">
        <v>61</v>
      </c>
      <c r="F208">
        <v>21</v>
      </c>
      <c r="G208" t="s">
        <v>246</v>
      </c>
      <c r="H208" t="s">
        <v>208</v>
      </c>
    </row>
    <row r="209" spans="1:14" x14ac:dyDescent="0.35">
      <c r="A209">
        <v>61</v>
      </c>
      <c r="F209">
        <v>8</v>
      </c>
      <c r="G209" t="s">
        <v>247</v>
      </c>
      <c r="H209" t="s">
        <v>208</v>
      </c>
    </row>
    <row r="210" spans="1:14" x14ac:dyDescent="0.35">
      <c r="A210">
        <v>61</v>
      </c>
      <c r="F210">
        <v>12</v>
      </c>
      <c r="G210" t="s">
        <v>248</v>
      </c>
      <c r="H210" t="s">
        <v>208</v>
      </c>
    </row>
    <row r="211" spans="1:14" x14ac:dyDescent="0.35">
      <c r="A211">
        <v>61</v>
      </c>
      <c r="F211">
        <v>11</v>
      </c>
      <c r="G211" t="s">
        <v>249</v>
      </c>
      <c r="H211" t="s">
        <v>208</v>
      </c>
    </row>
    <row r="212" spans="1:14" x14ac:dyDescent="0.35">
      <c r="A212">
        <v>61</v>
      </c>
      <c r="F212">
        <v>13</v>
      </c>
      <c r="G212" t="s">
        <v>250</v>
      </c>
      <c r="H212" t="s">
        <v>208</v>
      </c>
    </row>
    <row r="213" spans="1:14" x14ac:dyDescent="0.35">
      <c r="A213">
        <v>61</v>
      </c>
      <c r="F213">
        <v>1</v>
      </c>
      <c r="G213" t="s">
        <v>251</v>
      </c>
      <c r="H213" t="s">
        <v>208</v>
      </c>
    </row>
    <row r="214" spans="1:14" x14ac:dyDescent="0.35">
      <c r="A214">
        <v>61</v>
      </c>
      <c r="F214">
        <v>3</v>
      </c>
      <c r="G214" t="s">
        <v>252</v>
      </c>
      <c r="H214" t="s">
        <v>208</v>
      </c>
    </row>
    <row r="215" spans="1:14" x14ac:dyDescent="0.35">
      <c r="A215">
        <v>61</v>
      </c>
      <c r="F215">
        <v>7</v>
      </c>
      <c r="G215" t="s">
        <v>253</v>
      </c>
      <c r="H215" t="s">
        <v>208</v>
      </c>
    </row>
    <row r="216" spans="1:14" x14ac:dyDescent="0.35">
      <c r="A216">
        <v>61</v>
      </c>
      <c r="F216">
        <v>0</v>
      </c>
      <c r="G216" t="s">
        <v>254</v>
      </c>
      <c r="H216" t="s">
        <v>208</v>
      </c>
    </row>
    <row r="217" spans="1:14" x14ac:dyDescent="0.35">
      <c r="A217">
        <v>61</v>
      </c>
      <c r="F217">
        <v>8</v>
      </c>
      <c r="G217" t="s">
        <v>255</v>
      </c>
      <c r="H217" t="s">
        <v>208</v>
      </c>
    </row>
    <row r="218" spans="1:14" x14ac:dyDescent="0.35">
      <c r="A218">
        <v>61</v>
      </c>
      <c r="F218">
        <v>5</v>
      </c>
      <c r="G218" t="s">
        <v>256</v>
      </c>
      <c r="H218" t="s">
        <v>257</v>
      </c>
    </row>
    <row r="221" spans="1:14" x14ac:dyDescent="0.35">
      <c r="A221">
        <v>70</v>
      </c>
      <c r="B221">
        <v>1</v>
      </c>
      <c r="D221">
        <v>1</v>
      </c>
      <c r="E221" t="s">
        <v>258</v>
      </c>
      <c r="F221" t="s">
        <v>259</v>
      </c>
      <c r="G221">
        <v>0</v>
      </c>
      <c r="H221">
        <v>0</v>
      </c>
      <c r="J221">
        <v>1</v>
      </c>
      <c r="K221">
        <v>0</v>
      </c>
      <c r="N221">
        <v>0</v>
      </c>
    </row>
    <row r="222" spans="1:14" x14ac:dyDescent="0.35">
      <c r="A222">
        <v>70</v>
      </c>
      <c r="B222">
        <v>1</v>
      </c>
      <c r="D222">
        <v>2</v>
      </c>
      <c r="E222" t="s">
        <v>260</v>
      </c>
      <c r="F222" t="s">
        <v>261</v>
      </c>
      <c r="G222">
        <v>1</v>
      </c>
      <c r="H222">
        <v>0</v>
      </c>
      <c r="J222">
        <v>1</v>
      </c>
      <c r="K222">
        <v>0</v>
      </c>
      <c r="N222">
        <v>0</v>
      </c>
    </row>
    <row r="223" spans="1:14" x14ac:dyDescent="0.35">
      <c r="A223">
        <v>70</v>
      </c>
      <c r="B223">
        <v>1</v>
      </c>
      <c r="D223">
        <v>3</v>
      </c>
      <c r="E223" t="s">
        <v>262</v>
      </c>
      <c r="F223" t="s">
        <v>263</v>
      </c>
      <c r="G223">
        <v>0</v>
      </c>
      <c r="H223">
        <v>0</v>
      </c>
      <c r="J223">
        <v>1</v>
      </c>
      <c r="K223">
        <v>0</v>
      </c>
      <c r="N223">
        <v>0</v>
      </c>
    </row>
    <row r="224" spans="1:14" x14ac:dyDescent="0.35">
      <c r="A224">
        <v>70</v>
      </c>
      <c r="B224">
        <v>1</v>
      </c>
      <c r="D224">
        <v>4</v>
      </c>
      <c r="E224" t="s">
        <v>264</v>
      </c>
      <c r="F224" t="s">
        <v>265</v>
      </c>
      <c r="G224">
        <v>0</v>
      </c>
      <c r="H224">
        <v>0</v>
      </c>
      <c r="I224" t="s">
        <v>266</v>
      </c>
      <c r="J224">
        <v>0</v>
      </c>
      <c r="K224">
        <v>0</v>
      </c>
      <c r="N224">
        <v>0</v>
      </c>
    </row>
    <row r="225" spans="1:14" x14ac:dyDescent="0.35">
      <c r="A225">
        <v>70</v>
      </c>
      <c r="B225">
        <v>1</v>
      </c>
      <c r="D225">
        <v>5</v>
      </c>
      <c r="E225" t="s">
        <v>267</v>
      </c>
      <c r="F225" t="s">
        <v>268</v>
      </c>
      <c r="G225">
        <v>0</v>
      </c>
      <c r="H225">
        <v>0</v>
      </c>
      <c r="I225" t="s">
        <v>269</v>
      </c>
      <c r="J225">
        <v>0</v>
      </c>
      <c r="K225">
        <v>0</v>
      </c>
      <c r="N225">
        <v>0</v>
      </c>
    </row>
    <row r="226" spans="1:14" x14ac:dyDescent="0.35">
      <c r="A226">
        <v>70</v>
      </c>
      <c r="B226">
        <v>1</v>
      </c>
      <c r="D226">
        <v>6</v>
      </c>
      <c r="E226" t="s">
        <v>270</v>
      </c>
      <c r="F226" t="s">
        <v>271</v>
      </c>
      <c r="G226">
        <v>0</v>
      </c>
      <c r="H226">
        <v>0</v>
      </c>
      <c r="I226" t="s">
        <v>272</v>
      </c>
      <c r="J226">
        <v>0</v>
      </c>
      <c r="K226">
        <v>0</v>
      </c>
      <c r="N226">
        <v>0</v>
      </c>
    </row>
    <row r="227" spans="1:14" x14ac:dyDescent="0.35">
      <c r="A227">
        <v>70</v>
      </c>
      <c r="B227">
        <v>1</v>
      </c>
      <c r="D227">
        <v>7</v>
      </c>
      <c r="E227" t="s">
        <v>273</v>
      </c>
      <c r="F227" t="s">
        <v>274</v>
      </c>
      <c r="G227">
        <v>0</v>
      </c>
      <c r="H227">
        <v>0</v>
      </c>
      <c r="J227">
        <v>0</v>
      </c>
      <c r="K227">
        <v>0</v>
      </c>
      <c r="N227">
        <v>0</v>
      </c>
    </row>
    <row r="228" spans="1:14" x14ac:dyDescent="0.35">
      <c r="A228">
        <v>70</v>
      </c>
      <c r="B228">
        <v>1</v>
      </c>
      <c r="D228">
        <v>8</v>
      </c>
      <c r="E228" t="s">
        <v>275</v>
      </c>
      <c r="F228" t="s">
        <v>276</v>
      </c>
      <c r="G228">
        <v>0</v>
      </c>
      <c r="H228">
        <v>0</v>
      </c>
      <c r="I228" t="s">
        <v>277</v>
      </c>
      <c r="J228">
        <v>0</v>
      </c>
      <c r="K228">
        <v>0</v>
      </c>
      <c r="N228">
        <v>0</v>
      </c>
    </row>
    <row r="229" spans="1:14" x14ac:dyDescent="0.35">
      <c r="A229">
        <v>70</v>
      </c>
      <c r="B229">
        <v>1</v>
      </c>
      <c r="D229">
        <v>9</v>
      </c>
      <c r="E229" t="s">
        <v>278</v>
      </c>
      <c r="F229" t="s">
        <v>279</v>
      </c>
      <c r="G229">
        <v>0</v>
      </c>
      <c r="H229">
        <v>0</v>
      </c>
      <c r="I229" t="s">
        <v>280</v>
      </c>
      <c r="J229">
        <v>0</v>
      </c>
      <c r="K229">
        <v>0</v>
      </c>
      <c r="N229">
        <v>0</v>
      </c>
    </row>
    <row r="230" spans="1:14" x14ac:dyDescent="0.35">
      <c r="A230">
        <v>70</v>
      </c>
      <c r="B230">
        <v>1</v>
      </c>
      <c r="D230">
        <v>10</v>
      </c>
      <c r="E230" t="s">
        <v>281</v>
      </c>
      <c r="F230" t="s">
        <v>282</v>
      </c>
      <c r="G230">
        <v>0</v>
      </c>
      <c r="H230">
        <v>0</v>
      </c>
      <c r="I230" t="s">
        <v>283</v>
      </c>
      <c r="J230">
        <v>0</v>
      </c>
      <c r="K230">
        <v>0</v>
      </c>
      <c r="N230">
        <v>0</v>
      </c>
    </row>
    <row r="231" spans="1:14" x14ac:dyDescent="0.35">
      <c r="A231">
        <v>70</v>
      </c>
      <c r="B231">
        <v>1</v>
      </c>
      <c r="D231">
        <v>11</v>
      </c>
      <c r="E231" t="s">
        <v>284</v>
      </c>
      <c r="F231" t="s">
        <v>285</v>
      </c>
      <c r="G231">
        <v>0</v>
      </c>
      <c r="H231">
        <v>0</v>
      </c>
      <c r="I231" t="s">
        <v>286</v>
      </c>
      <c r="J231">
        <v>0</v>
      </c>
      <c r="K231">
        <v>0</v>
      </c>
      <c r="N231">
        <v>0</v>
      </c>
    </row>
    <row r="232" spans="1:14" x14ac:dyDescent="0.35">
      <c r="A232">
        <v>70</v>
      </c>
      <c r="B232">
        <v>1</v>
      </c>
      <c r="D232">
        <v>12</v>
      </c>
      <c r="E232" t="s">
        <v>287</v>
      </c>
      <c r="F232" t="s">
        <v>288</v>
      </c>
      <c r="G232">
        <v>0</v>
      </c>
      <c r="H232">
        <v>0</v>
      </c>
      <c r="J232">
        <v>0</v>
      </c>
      <c r="K232">
        <v>0</v>
      </c>
      <c r="N232">
        <v>0</v>
      </c>
    </row>
    <row r="233" spans="1:14" x14ac:dyDescent="0.35">
      <c r="A233">
        <v>70</v>
      </c>
      <c r="B233">
        <v>1</v>
      </c>
      <c r="D233">
        <v>1</v>
      </c>
      <c r="E233" t="s">
        <v>289</v>
      </c>
      <c r="F233" t="s">
        <v>290</v>
      </c>
      <c r="G233">
        <v>0.9</v>
      </c>
      <c r="H233">
        <v>1</v>
      </c>
      <c r="I233" t="s">
        <v>291</v>
      </c>
      <c r="J233">
        <v>0</v>
      </c>
      <c r="K233">
        <v>0</v>
      </c>
      <c r="N233">
        <v>0</v>
      </c>
    </row>
    <row r="234" spans="1:14" x14ac:dyDescent="0.35">
      <c r="A234">
        <v>70</v>
      </c>
      <c r="B234">
        <v>1</v>
      </c>
      <c r="D234">
        <v>2</v>
      </c>
      <c r="E234" t="s">
        <v>292</v>
      </c>
      <c r="F234" t="s">
        <v>293</v>
      </c>
      <c r="G234">
        <v>0.85</v>
      </c>
      <c r="H234">
        <v>1</v>
      </c>
      <c r="I234" t="s">
        <v>294</v>
      </c>
      <c r="J234">
        <v>0</v>
      </c>
      <c r="K234">
        <v>0</v>
      </c>
      <c r="N234">
        <v>0</v>
      </c>
    </row>
    <row r="235" spans="1:14" x14ac:dyDescent="0.35">
      <c r="A235">
        <v>70</v>
      </c>
      <c r="B235">
        <v>1</v>
      </c>
      <c r="D235">
        <v>3</v>
      </c>
      <c r="E235" t="s">
        <v>295</v>
      </c>
      <c r="F235" t="s">
        <v>296</v>
      </c>
      <c r="G235">
        <v>1</v>
      </c>
      <c r="H235">
        <v>0.85</v>
      </c>
      <c r="I235" t="s">
        <v>297</v>
      </c>
      <c r="J235">
        <v>0</v>
      </c>
      <c r="K235">
        <v>0</v>
      </c>
      <c r="N235">
        <v>0</v>
      </c>
    </row>
    <row r="236" spans="1:14" x14ac:dyDescent="0.35">
      <c r="A236">
        <v>70</v>
      </c>
      <c r="B236">
        <v>1</v>
      </c>
      <c r="D236">
        <v>4</v>
      </c>
      <c r="E236" t="s">
        <v>298</v>
      </c>
      <c r="F236" t="s">
        <v>299</v>
      </c>
      <c r="G236">
        <v>1</v>
      </c>
      <c r="H236">
        <v>0</v>
      </c>
      <c r="J236">
        <v>0</v>
      </c>
      <c r="K236">
        <v>0</v>
      </c>
      <c r="N236">
        <v>0</v>
      </c>
    </row>
    <row r="237" spans="1:14" x14ac:dyDescent="0.35">
      <c r="A237">
        <v>70</v>
      </c>
      <c r="B237">
        <v>1</v>
      </c>
      <c r="D237">
        <v>5</v>
      </c>
      <c r="E237" t="s">
        <v>300</v>
      </c>
      <c r="F237" t="s">
        <v>301</v>
      </c>
      <c r="G237">
        <v>1</v>
      </c>
      <c r="H237">
        <v>0.8</v>
      </c>
      <c r="I237" t="s">
        <v>302</v>
      </c>
      <c r="J237">
        <v>0</v>
      </c>
      <c r="K237">
        <v>0</v>
      </c>
      <c r="N237">
        <v>0</v>
      </c>
    </row>
    <row r="238" spans="1:14" x14ac:dyDescent="0.35">
      <c r="A238">
        <v>70</v>
      </c>
      <c r="B238">
        <v>1</v>
      </c>
      <c r="D238">
        <v>6</v>
      </c>
      <c r="E238" t="s">
        <v>303</v>
      </c>
      <c r="F238" t="s">
        <v>304</v>
      </c>
      <c r="G238">
        <v>0.85</v>
      </c>
      <c r="H238">
        <v>0</v>
      </c>
      <c r="J238">
        <v>0</v>
      </c>
      <c r="K238">
        <v>0</v>
      </c>
      <c r="N238">
        <v>0</v>
      </c>
    </row>
    <row r="239" spans="1:14" x14ac:dyDescent="0.35">
      <c r="A239">
        <v>70</v>
      </c>
      <c r="B239">
        <v>1</v>
      </c>
      <c r="D239">
        <v>7</v>
      </c>
      <c r="E239" t="s">
        <v>305</v>
      </c>
      <c r="F239" t="s">
        <v>306</v>
      </c>
      <c r="G239">
        <v>0.8</v>
      </c>
      <c r="H239">
        <v>0</v>
      </c>
      <c r="J239">
        <v>0</v>
      </c>
      <c r="K239">
        <v>0</v>
      </c>
      <c r="N239">
        <v>0</v>
      </c>
    </row>
    <row r="240" spans="1:14" x14ac:dyDescent="0.35">
      <c r="A240">
        <v>70</v>
      </c>
      <c r="B240">
        <v>1</v>
      </c>
      <c r="D240">
        <v>8</v>
      </c>
      <c r="E240" t="s">
        <v>307</v>
      </c>
      <c r="F240" t="s">
        <v>308</v>
      </c>
      <c r="G240">
        <v>0.94</v>
      </c>
      <c r="H240">
        <v>0</v>
      </c>
      <c r="J240">
        <v>0</v>
      </c>
      <c r="K240">
        <v>0</v>
      </c>
      <c r="N240">
        <v>0</v>
      </c>
    </row>
    <row r="241" spans="1:17" x14ac:dyDescent="0.35">
      <c r="A241">
        <v>70</v>
      </c>
      <c r="B241">
        <v>1</v>
      </c>
      <c r="D241">
        <v>9</v>
      </c>
      <c r="E241" t="s">
        <v>309</v>
      </c>
      <c r="F241" t="s">
        <v>310</v>
      </c>
      <c r="G241">
        <v>0.9</v>
      </c>
      <c r="H241">
        <v>0</v>
      </c>
      <c r="J241">
        <v>0</v>
      </c>
      <c r="K241">
        <v>0</v>
      </c>
      <c r="N241">
        <v>0</v>
      </c>
    </row>
    <row r="242" spans="1:17" x14ac:dyDescent="0.35">
      <c r="A242">
        <v>70</v>
      </c>
      <c r="B242">
        <v>1</v>
      </c>
      <c r="D242">
        <v>10</v>
      </c>
      <c r="E242" t="s">
        <v>311</v>
      </c>
      <c r="F242" t="s">
        <v>312</v>
      </c>
      <c r="G242">
        <v>0.6</v>
      </c>
      <c r="H242">
        <v>0</v>
      </c>
      <c r="J242">
        <v>0</v>
      </c>
      <c r="K242">
        <v>0</v>
      </c>
      <c r="N242">
        <v>0</v>
      </c>
    </row>
    <row r="243" spans="1:17" x14ac:dyDescent="0.35">
      <c r="A243">
        <v>70</v>
      </c>
      <c r="B243">
        <v>1</v>
      </c>
      <c r="D243">
        <v>11</v>
      </c>
      <c r="E243" t="s">
        <v>313</v>
      </c>
      <c r="F243" t="s">
        <v>314</v>
      </c>
      <c r="G243">
        <v>1.2</v>
      </c>
      <c r="H243">
        <v>0</v>
      </c>
      <c r="J243">
        <v>0</v>
      </c>
      <c r="K243">
        <v>0</v>
      </c>
      <c r="N243">
        <v>0</v>
      </c>
    </row>
    <row r="244" spans="1:17" x14ac:dyDescent="0.35">
      <c r="A244">
        <v>70</v>
      </c>
      <c r="B244">
        <v>1</v>
      </c>
      <c r="D244">
        <v>12</v>
      </c>
      <c r="E244" t="s">
        <v>315</v>
      </c>
      <c r="F244" t="s">
        <v>316</v>
      </c>
      <c r="G244">
        <v>0</v>
      </c>
      <c r="H244">
        <v>0</v>
      </c>
      <c r="J244">
        <v>0</v>
      </c>
      <c r="K244">
        <v>0</v>
      </c>
      <c r="N244">
        <v>0</v>
      </c>
    </row>
    <row r="245" spans="1:17" x14ac:dyDescent="0.35">
      <c r="A245">
        <v>70</v>
      </c>
      <c r="B245">
        <v>1</v>
      </c>
      <c r="D245">
        <v>13</v>
      </c>
      <c r="E245" t="s">
        <v>317</v>
      </c>
      <c r="F245" t="s">
        <v>318</v>
      </c>
      <c r="G245">
        <v>0.94</v>
      </c>
      <c r="H245">
        <v>0</v>
      </c>
      <c r="J245">
        <v>0</v>
      </c>
      <c r="K245">
        <v>0</v>
      </c>
      <c r="N245">
        <v>0</v>
      </c>
    </row>
    <row r="247" spans="1:17" x14ac:dyDescent="0.35">
      <c r="A247">
        <v>-1</v>
      </c>
    </row>
    <row r="249" spans="1:17" x14ac:dyDescent="0.35">
      <c r="A249">
        <v>75</v>
      </c>
      <c r="B249" t="s">
        <v>319</v>
      </c>
      <c r="C249">
        <v>2017</v>
      </c>
      <c r="D249">
        <v>0</v>
      </c>
      <c r="E249">
        <v>9</v>
      </c>
      <c r="G249">
        <v>0</v>
      </c>
      <c r="H249">
        <v>1</v>
      </c>
      <c r="I249">
        <v>0</v>
      </c>
      <c r="J249">
        <v>3</v>
      </c>
      <c r="K249">
        <v>0</v>
      </c>
      <c r="L249">
        <v>0</v>
      </c>
      <c r="M249">
        <v>0</v>
      </c>
      <c r="N249">
        <v>502564877</v>
      </c>
      <c r="O249">
        <v>1</v>
      </c>
    </row>
    <row r="250" spans="1:17" x14ac:dyDescent="0.35">
      <c r="A250">
        <v>1</v>
      </c>
      <c r="B250" t="s">
        <v>320</v>
      </c>
      <c r="C250" t="s">
        <v>321</v>
      </c>
      <c r="D250">
        <v>2017</v>
      </c>
      <c r="E250">
        <v>9</v>
      </c>
      <c r="F250">
        <v>1</v>
      </c>
      <c r="G250">
        <v>1</v>
      </c>
      <c r="H250">
        <v>0</v>
      </c>
      <c r="I250">
        <v>2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</row>
    <row r="254" spans="1:17" x14ac:dyDescent="0.35">
      <c r="A254">
        <v>65</v>
      </c>
      <c r="C254">
        <v>1</v>
      </c>
      <c r="D254">
        <v>0</v>
      </c>
      <c r="E254">
        <v>245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4"/>
  <sheetViews>
    <sheetView zoomScaleNormal="100" workbookViewId="0"/>
  </sheetViews>
  <sheetFormatPr defaultRowHeight="12.75" x14ac:dyDescent="0.35"/>
  <cols>
    <col min="1" max="1025" width="9" customWidth="1"/>
  </cols>
  <sheetData>
    <row r="1" spans="1:133" x14ac:dyDescent="0.35">
      <c r="A1">
        <v>0</v>
      </c>
      <c r="B1" t="s">
        <v>43</v>
      </c>
      <c r="D1" t="s">
        <v>322</v>
      </c>
      <c r="F1">
        <v>0</v>
      </c>
      <c r="G1">
        <v>0</v>
      </c>
      <c r="H1">
        <v>0</v>
      </c>
      <c r="I1" t="s">
        <v>45</v>
      </c>
      <c r="K1">
        <v>1</v>
      </c>
      <c r="L1">
        <v>40934</v>
      </c>
      <c r="M1">
        <v>379643481</v>
      </c>
    </row>
    <row r="12" spans="1:133" x14ac:dyDescent="0.35">
      <c r="A12">
        <v>1</v>
      </c>
      <c r="B12">
        <v>53</v>
      </c>
      <c r="C12">
        <v>0</v>
      </c>
      <c r="E12">
        <v>0</v>
      </c>
      <c r="F12" t="s">
        <v>46</v>
      </c>
      <c r="G12" t="s">
        <v>47</v>
      </c>
      <c r="I12">
        <v>0</v>
      </c>
      <c r="K12">
        <v>0</v>
      </c>
      <c r="O12">
        <v>0</v>
      </c>
      <c r="P12">
        <v>0</v>
      </c>
      <c r="Q12">
        <v>0</v>
      </c>
      <c r="R12">
        <v>0</v>
      </c>
      <c r="V12">
        <v>0</v>
      </c>
      <c r="BH12" t="s">
        <v>48</v>
      </c>
      <c r="BI12" t="s">
        <v>49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1</v>
      </c>
      <c r="BW12">
        <v>0</v>
      </c>
      <c r="BX12">
        <v>0</v>
      </c>
      <c r="BY12" t="s">
        <v>50</v>
      </c>
      <c r="BZ12" t="s">
        <v>51</v>
      </c>
      <c r="CA12" t="s">
        <v>52</v>
      </c>
      <c r="CB12" t="s">
        <v>52</v>
      </c>
      <c r="CC12" t="s">
        <v>52</v>
      </c>
      <c r="CD12" t="s">
        <v>52</v>
      </c>
      <c r="CE12" t="s">
        <v>53</v>
      </c>
      <c r="CF12">
        <v>0</v>
      </c>
      <c r="CG12">
        <v>0</v>
      </c>
      <c r="CH12">
        <v>8200</v>
      </c>
      <c r="CK12">
        <v>1</v>
      </c>
      <c r="EC12">
        <v>0</v>
      </c>
    </row>
    <row r="14" spans="1:133" x14ac:dyDescent="0.35">
      <c r="A14">
        <v>22</v>
      </c>
      <c r="B14">
        <v>0</v>
      </c>
      <c r="C14">
        <v>0</v>
      </c>
      <c r="D14">
        <v>502564877</v>
      </c>
      <c r="E14">
        <v>0</v>
      </c>
      <c r="F14">
        <v>3</v>
      </c>
    </row>
    <row r="16" spans="1:133" x14ac:dyDescent="0.35">
      <c r="A16">
        <v>3</v>
      </c>
      <c r="B16">
        <v>1</v>
      </c>
      <c r="D16" t="s">
        <v>54</v>
      </c>
      <c r="E16">
        <f>(Source!F137)/1000</f>
        <v>2115.6887000000002</v>
      </c>
      <c r="F16">
        <f>(Source!F138)/1000</f>
        <v>0</v>
      </c>
      <c r="G16">
        <f>(Source!F129)/1000</f>
        <v>0</v>
      </c>
      <c r="H16">
        <f>(Source!F139)/1000+(Source!F140)/1000</f>
        <v>0</v>
      </c>
      <c r="I16">
        <f>E16+F16+G16+H16</f>
        <v>2115.6887000000002</v>
      </c>
      <c r="J16">
        <f>(Source!F135)/1000</f>
        <v>189.00854999999999</v>
      </c>
      <c r="AI16">
        <v>0</v>
      </c>
      <c r="AJ16">
        <v>-1</v>
      </c>
      <c r="AN16">
        <v>0</v>
      </c>
      <c r="AT16">
        <v>1632700.56</v>
      </c>
      <c r="AU16">
        <v>1090023.72</v>
      </c>
      <c r="AV16">
        <v>0</v>
      </c>
      <c r="AW16">
        <v>0</v>
      </c>
      <c r="AX16">
        <v>0</v>
      </c>
      <c r="AY16">
        <v>353668.29</v>
      </c>
      <c r="AZ16">
        <v>96834.12</v>
      </c>
      <c r="BA16">
        <v>189008.55</v>
      </c>
      <c r="BB16">
        <v>2115688.7000000002</v>
      </c>
      <c r="BC16">
        <v>0</v>
      </c>
      <c r="BD16">
        <v>0</v>
      </c>
      <c r="BE16">
        <v>0</v>
      </c>
      <c r="BF16">
        <v>899.93347031999997</v>
      </c>
      <c r="BG16">
        <v>322.76300075</v>
      </c>
      <c r="BH16">
        <v>12245.94</v>
      </c>
      <c r="BI16">
        <v>302764.73</v>
      </c>
      <c r="BJ16">
        <v>180223.41</v>
      </c>
      <c r="BK16">
        <v>2115688.7000000002</v>
      </c>
    </row>
    <row r="18" spans="1:15" x14ac:dyDescent="0.35">
      <c r="A18">
        <v>51</v>
      </c>
      <c r="E18">
        <f>SUMIF(A16:A17,3,E16:E17)</f>
        <v>2115.6887000000002</v>
      </c>
      <c r="F18">
        <f>SUMIF(A16:A17,3,F16:F17)</f>
        <v>0</v>
      </c>
      <c r="G18">
        <f>SUMIF(A16:A17,3,G16:G17)</f>
        <v>0</v>
      </c>
      <c r="H18">
        <f>SUMIF(A16:A17,3,H16:H17)</f>
        <v>0</v>
      </c>
      <c r="I18">
        <f>SUMIF(A16:A17,3,I16:I17)</f>
        <v>2115.6887000000002</v>
      </c>
      <c r="J18">
        <f>SUMIF(A16:A17,3,J16:J17)</f>
        <v>189.00854999999999</v>
      </c>
    </row>
    <row r="20" spans="1:15" x14ac:dyDescent="0.35">
      <c r="A20">
        <v>50</v>
      </c>
      <c r="B20">
        <v>0</v>
      </c>
      <c r="C20">
        <v>0</v>
      </c>
      <c r="D20">
        <v>1</v>
      </c>
      <c r="E20">
        <v>201</v>
      </c>
      <c r="F20">
        <v>1632700.56</v>
      </c>
      <c r="G20" t="s">
        <v>145</v>
      </c>
      <c r="H20" t="s">
        <v>146</v>
      </c>
      <c r="K20">
        <v>201</v>
      </c>
      <c r="L20">
        <v>1</v>
      </c>
      <c r="M20">
        <v>3</v>
      </c>
      <c r="O20">
        <v>2</v>
      </c>
    </row>
    <row r="21" spans="1:15" x14ac:dyDescent="0.35">
      <c r="A21">
        <v>50</v>
      </c>
      <c r="B21">
        <v>0</v>
      </c>
      <c r="C21">
        <v>0</v>
      </c>
      <c r="D21">
        <v>1</v>
      </c>
      <c r="E21">
        <v>202</v>
      </c>
      <c r="F21">
        <v>1090023.72</v>
      </c>
      <c r="G21" t="s">
        <v>147</v>
      </c>
      <c r="H21" t="s">
        <v>148</v>
      </c>
      <c r="K21">
        <v>202</v>
      </c>
      <c r="L21">
        <v>2</v>
      </c>
      <c r="M21">
        <v>3</v>
      </c>
      <c r="O21">
        <v>2</v>
      </c>
    </row>
    <row r="22" spans="1:15" x14ac:dyDescent="0.35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149</v>
      </c>
      <c r="H22" t="s">
        <v>150</v>
      </c>
      <c r="K22">
        <v>222</v>
      </c>
      <c r="L22">
        <v>3</v>
      </c>
      <c r="M22">
        <v>3</v>
      </c>
      <c r="O22">
        <v>2</v>
      </c>
    </row>
    <row r="23" spans="1:15" x14ac:dyDescent="0.35">
      <c r="A23">
        <v>50</v>
      </c>
      <c r="B23">
        <v>0</v>
      </c>
      <c r="C23">
        <v>0</v>
      </c>
      <c r="D23">
        <v>1</v>
      </c>
      <c r="E23">
        <v>225</v>
      </c>
      <c r="F23">
        <v>1090023.72</v>
      </c>
      <c r="G23" t="s">
        <v>151</v>
      </c>
      <c r="H23" t="s">
        <v>152</v>
      </c>
      <c r="K23">
        <v>225</v>
      </c>
      <c r="L23">
        <v>4</v>
      </c>
      <c r="M23">
        <v>3</v>
      </c>
      <c r="O23">
        <v>2</v>
      </c>
    </row>
    <row r="24" spans="1:15" x14ac:dyDescent="0.35">
      <c r="A24">
        <v>50</v>
      </c>
      <c r="B24">
        <v>0</v>
      </c>
      <c r="C24">
        <v>0</v>
      </c>
      <c r="D24">
        <v>1</v>
      </c>
      <c r="E24">
        <v>226</v>
      </c>
      <c r="F24">
        <v>1090023.72</v>
      </c>
      <c r="G24" t="s">
        <v>153</v>
      </c>
      <c r="H24" t="s">
        <v>154</v>
      </c>
      <c r="K24">
        <v>226</v>
      </c>
      <c r="L24">
        <v>5</v>
      </c>
      <c r="M24">
        <v>3</v>
      </c>
      <c r="O24">
        <v>2</v>
      </c>
    </row>
    <row r="25" spans="1:15" x14ac:dyDescent="0.35">
      <c r="A25">
        <v>50</v>
      </c>
      <c r="B25">
        <v>0</v>
      </c>
      <c r="C25">
        <v>0</v>
      </c>
      <c r="D25">
        <v>1</v>
      </c>
      <c r="E25">
        <v>227</v>
      </c>
      <c r="F25">
        <v>0</v>
      </c>
      <c r="G25" t="s">
        <v>155</v>
      </c>
      <c r="H25" t="s">
        <v>156</v>
      </c>
      <c r="K25">
        <v>227</v>
      </c>
      <c r="L25">
        <v>6</v>
      </c>
      <c r="M25">
        <v>3</v>
      </c>
      <c r="O25">
        <v>2</v>
      </c>
    </row>
    <row r="26" spans="1:15" x14ac:dyDescent="0.35">
      <c r="A26">
        <v>50</v>
      </c>
      <c r="B26">
        <v>0</v>
      </c>
      <c r="C26">
        <v>0</v>
      </c>
      <c r="D26">
        <v>1</v>
      </c>
      <c r="E26">
        <v>228</v>
      </c>
      <c r="F26">
        <v>1090023.72</v>
      </c>
      <c r="G26" t="s">
        <v>157</v>
      </c>
      <c r="H26" t="s">
        <v>158</v>
      </c>
      <c r="K26">
        <v>228</v>
      </c>
      <c r="L26">
        <v>7</v>
      </c>
      <c r="M26">
        <v>3</v>
      </c>
      <c r="O26">
        <v>2</v>
      </c>
    </row>
    <row r="27" spans="1:15" x14ac:dyDescent="0.35">
      <c r="A27">
        <v>50</v>
      </c>
      <c r="B27">
        <v>0</v>
      </c>
      <c r="C27">
        <v>0</v>
      </c>
      <c r="D27">
        <v>1</v>
      </c>
      <c r="E27">
        <v>216</v>
      </c>
      <c r="F27">
        <v>0</v>
      </c>
      <c r="G27" t="s">
        <v>159</v>
      </c>
      <c r="H27" t="s">
        <v>160</v>
      </c>
      <c r="K27">
        <v>216</v>
      </c>
      <c r="L27">
        <v>8</v>
      </c>
      <c r="M27">
        <v>3</v>
      </c>
      <c r="O27">
        <v>2</v>
      </c>
    </row>
    <row r="28" spans="1:15" x14ac:dyDescent="0.35">
      <c r="A28">
        <v>50</v>
      </c>
      <c r="B28">
        <v>0</v>
      </c>
      <c r="C28">
        <v>0</v>
      </c>
      <c r="D28">
        <v>1</v>
      </c>
      <c r="E28">
        <v>223</v>
      </c>
      <c r="F28">
        <v>0</v>
      </c>
      <c r="G28" t="s">
        <v>161</v>
      </c>
      <c r="H28" t="s">
        <v>162</v>
      </c>
      <c r="K28">
        <v>223</v>
      </c>
      <c r="L28">
        <v>9</v>
      </c>
      <c r="M28">
        <v>3</v>
      </c>
      <c r="O28">
        <v>2</v>
      </c>
    </row>
    <row r="29" spans="1:15" x14ac:dyDescent="0.35">
      <c r="A29">
        <v>50</v>
      </c>
      <c r="B29">
        <v>0</v>
      </c>
      <c r="C29">
        <v>0</v>
      </c>
      <c r="D29">
        <v>1</v>
      </c>
      <c r="E29">
        <v>229</v>
      </c>
      <c r="F29">
        <v>0</v>
      </c>
      <c r="G29" t="s">
        <v>163</v>
      </c>
      <c r="H29" t="s">
        <v>164</v>
      </c>
      <c r="K29">
        <v>229</v>
      </c>
      <c r="L29">
        <v>10</v>
      </c>
      <c r="M29">
        <v>3</v>
      </c>
      <c r="O29">
        <v>2</v>
      </c>
    </row>
    <row r="30" spans="1:15" x14ac:dyDescent="0.35">
      <c r="A30">
        <v>50</v>
      </c>
      <c r="B30">
        <v>0</v>
      </c>
      <c r="C30">
        <v>0</v>
      </c>
      <c r="D30">
        <v>1</v>
      </c>
      <c r="E30">
        <v>203</v>
      </c>
      <c r="F30">
        <v>353668.29</v>
      </c>
      <c r="G30" t="s">
        <v>165</v>
      </c>
      <c r="H30" t="s">
        <v>166</v>
      </c>
      <c r="K30">
        <v>203</v>
      </c>
      <c r="L30">
        <v>11</v>
      </c>
      <c r="M30">
        <v>3</v>
      </c>
      <c r="O30">
        <v>2</v>
      </c>
    </row>
    <row r="31" spans="1:15" x14ac:dyDescent="0.35">
      <c r="A31">
        <v>50</v>
      </c>
      <c r="B31">
        <v>0</v>
      </c>
      <c r="C31">
        <v>0</v>
      </c>
      <c r="D31">
        <v>1</v>
      </c>
      <c r="E31">
        <v>231</v>
      </c>
      <c r="F31">
        <v>0</v>
      </c>
      <c r="G31" t="s">
        <v>167</v>
      </c>
      <c r="H31" t="s">
        <v>168</v>
      </c>
      <c r="K31">
        <v>231</v>
      </c>
      <c r="L31">
        <v>12</v>
      </c>
      <c r="M31">
        <v>3</v>
      </c>
      <c r="O31">
        <v>2</v>
      </c>
    </row>
    <row r="32" spans="1:15" x14ac:dyDescent="0.35">
      <c r="A32">
        <v>50</v>
      </c>
      <c r="B32">
        <v>0</v>
      </c>
      <c r="C32">
        <v>0</v>
      </c>
      <c r="D32">
        <v>1</v>
      </c>
      <c r="E32">
        <v>204</v>
      </c>
      <c r="F32">
        <v>96834.12</v>
      </c>
      <c r="G32" t="s">
        <v>169</v>
      </c>
      <c r="H32" t="s">
        <v>170</v>
      </c>
      <c r="K32">
        <v>204</v>
      </c>
      <c r="L32">
        <v>13</v>
      </c>
      <c r="M32">
        <v>3</v>
      </c>
      <c r="O32">
        <v>2</v>
      </c>
    </row>
    <row r="33" spans="1:15" x14ac:dyDescent="0.35">
      <c r="A33">
        <v>50</v>
      </c>
      <c r="B33">
        <v>0</v>
      </c>
      <c r="C33">
        <v>0</v>
      </c>
      <c r="D33">
        <v>1</v>
      </c>
      <c r="E33">
        <v>205</v>
      </c>
      <c r="F33">
        <v>189008.55</v>
      </c>
      <c r="G33" t="s">
        <v>171</v>
      </c>
      <c r="H33" t="s">
        <v>172</v>
      </c>
      <c r="K33">
        <v>205</v>
      </c>
      <c r="L33">
        <v>14</v>
      </c>
      <c r="M33">
        <v>3</v>
      </c>
      <c r="O33">
        <v>2</v>
      </c>
    </row>
    <row r="34" spans="1:15" x14ac:dyDescent="0.35">
      <c r="A34">
        <v>50</v>
      </c>
      <c r="B34">
        <v>0</v>
      </c>
      <c r="C34">
        <v>0</v>
      </c>
      <c r="D34">
        <v>1</v>
      </c>
      <c r="E34">
        <v>232</v>
      </c>
      <c r="F34">
        <v>0</v>
      </c>
      <c r="G34" t="s">
        <v>173</v>
      </c>
      <c r="H34" t="s">
        <v>174</v>
      </c>
      <c r="K34">
        <v>232</v>
      </c>
      <c r="L34">
        <v>15</v>
      </c>
      <c r="M34">
        <v>3</v>
      </c>
      <c r="O34">
        <v>2</v>
      </c>
    </row>
    <row r="35" spans="1:15" x14ac:dyDescent="0.35">
      <c r="A35">
        <v>50</v>
      </c>
      <c r="B35">
        <v>0</v>
      </c>
      <c r="C35">
        <v>0</v>
      </c>
      <c r="D35">
        <v>1</v>
      </c>
      <c r="E35">
        <v>214</v>
      </c>
      <c r="F35">
        <v>2115688.7000000002</v>
      </c>
      <c r="G35" t="s">
        <v>175</v>
      </c>
      <c r="H35" t="s">
        <v>176</v>
      </c>
      <c r="K35">
        <v>214</v>
      </c>
      <c r="L35">
        <v>16</v>
      </c>
      <c r="M35">
        <v>3</v>
      </c>
      <c r="O35">
        <v>2</v>
      </c>
    </row>
    <row r="36" spans="1:15" x14ac:dyDescent="0.35">
      <c r="A36">
        <v>50</v>
      </c>
      <c r="B36">
        <v>0</v>
      </c>
      <c r="C36">
        <v>0</v>
      </c>
      <c r="D36">
        <v>1</v>
      </c>
      <c r="E36">
        <v>215</v>
      </c>
      <c r="F36">
        <v>0</v>
      </c>
      <c r="G36" t="s">
        <v>177</v>
      </c>
      <c r="H36" t="s">
        <v>178</v>
      </c>
      <c r="K36">
        <v>215</v>
      </c>
      <c r="L36">
        <v>17</v>
      </c>
      <c r="M36">
        <v>3</v>
      </c>
      <c r="O36">
        <v>2</v>
      </c>
    </row>
    <row r="37" spans="1:15" x14ac:dyDescent="0.35">
      <c r="A37">
        <v>50</v>
      </c>
      <c r="B37">
        <v>0</v>
      </c>
      <c r="C37">
        <v>0</v>
      </c>
      <c r="D37">
        <v>1</v>
      </c>
      <c r="E37">
        <v>217</v>
      </c>
      <c r="F37">
        <v>0</v>
      </c>
      <c r="G37" t="s">
        <v>179</v>
      </c>
      <c r="H37" t="s">
        <v>180</v>
      </c>
      <c r="K37">
        <v>217</v>
      </c>
      <c r="L37">
        <v>18</v>
      </c>
      <c r="M37">
        <v>3</v>
      </c>
      <c r="O37">
        <v>2</v>
      </c>
    </row>
    <row r="38" spans="1:15" x14ac:dyDescent="0.35">
      <c r="A38">
        <v>50</v>
      </c>
      <c r="B38">
        <v>0</v>
      </c>
      <c r="C38">
        <v>0</v>
      </c>
      <c r="D38">
        <v>1</v>
      </c>
      <c r="E38">
        <v>230</v>
      </c>
      <c r="F38">
        <v>0</v>
      </c>
      <c r="G38" t="s">
        <v>181</v>
      </c>
      <c r="H38" t="s">
        <v>182</v>
      </c>
      <c r="K38">
        <v>230</v>
      </c>
      <c r="L38">
        <v>19</v>
      </c>
      <c r="M38">
        <v>3</v>
      </c>
      <c r="O38">
        <v>2</v>
      </c>
    </row>
    <row r="39" spans="1:15" x14ac:dyDescent="0.35">
      <c r="A39">
        <v>50</v>
      </c>
      <c r="B39">
        <v>0</v>
      </c>
      <c r="C39">
        <v>0</v>
      </c>
      <c r="D39">
        <v>1</v>
      </c>
      <c r="E39">
        <v>206</v>
      </c>
      <c r="F39">
        <v>0</v>
      </c>
      <c r="G39" t="s">
        <v>183</v>
      </c>
      <c r="H39" t="s">
        <v>184</v>
      </c>
      <c r="K39">
        <v>206</v>
      </c>
      <c r="L39">
        <v>20</v>
      </c>
      <c r="M39">
        <v>3</v>
      </c>
      <c r="O39">
        <v>2</v>
      </c>
    </row>
    <row r="40" spans="1:15" x14ac:dyDescent="0.35">
      <c r="A40">
        <v>50</v>
      </c>
      <c r="B40">
        <v>0</v>
      </c>
      <c r="C40">
        <v>0</v>
      </c>
      <c r="D40">
        <v>1</v>
      </c>
      <c r="E40">
        <v>207</v>
      </c>
      <c r="F40">
        <v>899.93347031999997</v>
      </c>
      <c r="G40" t="s">
        <v>185</v>
      </c>
      <c r="H40" t="s">
        <v>186</v>
      </c>
      <c r="K40">
        <v>207</v>
      </c>
      <c r="L40">
        <v>21</v>
      </c>
      <c r="M40">
        <v>3</v>
      </c>
      <c r="O40">
        <v>-1</v>
      </c>
    </row>
    <row r="41" spans="1:15" x14ac:dyDescent="0.35">
      <c r="A41">
        <v>50</v>
      </c>
      <c r="B41">
        <v>0</v>
      </c>
      <c r="C41">
        <v>0</v>
      </c>
      <c r="D41">
        <v>1</v>
      </c>
      <c r="E41">
        <v>208</v>
      </c>
      <c r="F41">
        <v>322.76300075</v>
      </c>
      <c r="G41" t="s">
        <v>187</v>
      </c>
      <c r="H41" t="s">
        <v>188</v>
      </c>
      <c r="K41">
        <v>208</v>
      </c>
      <c r="L41">
        <v>22</v>
      </c>
      <c r="M41">
        <v>3</v>
      </c>
      <c r="O41">
        <v>-1</v>
      </c>
    </row>
    <row r="42" spans="1:15" x14ac:dyDescent="0.35">
      <c r="A42">
        <v>50</v>
      </c>
      <c r="B42">
        <v>0</v>
      </c>
      <c r="C42">
        <v>0</v>
      </c>
      <c r="D42">
        <v>1</v>
      </c>
      <c r="E42">
        <v>209</v>
      </c>
      <c r="F42">
        <v>12245.94</v>
      </c>
      <c r="G42" t="s">
        <v>189</v>
      </c>
      <c r="H42" t="s">
        <v>190</v>
      </c>
      <c r="K42">
        <v>209</v>
      </c>
      <c r="L42">
        <v>23</v>
      </c>
      <c r="M42">
        <v>3</v>
      </c>
      <c r="O42">
        <v>2</v>
      </c>
    </row>
    <row r="43" spans="1:15" x14ac:dyDescent="0.35">
      <c r="A43">
        <v>50</v>
      </c>
      <c r="B43">
        <v>0</v>
      </c>
      <c r="C43">
        <v>0</v>
      </c>
      <c r="D43">
        <v>1</v>
      </c>
      <c r="E43">
        <v>210</v>
      </c>
      <c r="F43">
        <v>302764.73</v>
      </c>
      <c r="G43" t="s">
        <v>191</v>
      </c>
      <c r="H43" t="s">
        <v>192</v>
      </c>
      <c r="K43">
        <v>210</v>
      </c>
      <c r="L43">
        <v>24</v>
      </c>
      <c r="M43">
        <v>3</v>
      </c>
      <c r="O43">
        <v>2</v>
      </c>
    </row>
    <row r="44" spans="1:15" x14ac:dyDescent="0.35">
      <c r="A44">
        <v>50</v>
      </c>
      <c r="B44">
        <v>0</v>
      </c>
      <c r="C44">
        <v>0</v>
      </c>
      <c r="D44">
        <v>1</v>
      </c>
      <c r="E44">
        <v>211</v>
      </c>
      <c r="F44">
        <v>180223.41</v>
      </c>
      <c r="G44" t="s">
        <v>193</v>
      </c>
      <c r="H44" t="s">
        <v>194</v>
      </c>
      <c r="K44">
        <v>211</v>
      </c>
      <c r="L44">
        <v>25</v>
      </c>
      <c r="M44">
        <v>3</v>
      </c>
      <c r="O44">
        <v>2</v>
      </c>
    </row>
    <row r="45" spans="1:15" x14ac:dyDescent="0.35">
      <c r="A45">
        <v>50</v>
      </c>
      <c r="B45">
        <v>0</v>
      </c>
      <c r="C45">
        <v>0</v>
      </c>
      <c r="D45">
        <v>1</v>
      </c>
      <c r="E45">
        <v>224</v>
      </c>
      <c r="F45">
        <v>2115688.7000000002</v>
      </c>
      <c r="G45" t="s">
        <v>195</v>
      </c>
      <c r="H45" t="s">
        <v>196</v>
      </c>
      <c r="K45">
        <v>224</v>
      </c>
      <c r="L45">
        <v>26</v>
      </c>
      <c r="M45">
        <v>3</v>
      </c>
      <c r="O45">
        <v>2</v>
      </c>
    </row>
    <row r="46" spans="1:15" x14ac:dyDescent="0.35">
      <c r="A46">
        <v>50</v>
      </c>
      <c r="B46">
        <v>1</v>
      </c>
      <c r="C46">
        <v>0</v>
      </c>
      <c r="D46">
        <v>2</v>
      </c>
      <c r="E46">
        <v>0</v>
      </c>
      <c r="F46">
        <v>2115688.7000000002</v>
      </c>
      <c r="G46" t="s">
        <v>57</v>
      </c>
      <c r="H46" t="s">
        <v>204</v>
      </c>
      <c r="K46">
        <v>212</v>
      </c>
      <c r="L46">
        <v>27</v>
      </c>
      <c r="M46">
        <v>0</v>
      </c>
      <c r="O46">
        <v>2</v>
      </c>
    </row>
    <row r="47" spans="1:15" x14ac:dyDescent="0.35">
      <c r="A47">
        <v>50</v>
      </c>
      <c r="B47">
        <v>1</v>
      </c>
      <c r="C47">
        <v>0</v>
      </c>
      <c r="D47">
        <v>2</v>
      </c>
      <c r="E47">
        <v>0</v>
      </c>
      <c r="F47">
        <v>380823.97</v>
      </c>
      <c r="G47" t="s">
        <v>72</v>
      </c>
      <c r="H47" t="s">
        <v>205</v>
      </c>
      <c r="K47">
        <v>212</v>
      </c>
      <c r="L47">
        <v>28</v>
      </c>
      <c r="M47">
        <v>0</v>
      </c>
      <c r="O47">
        <v>2</v>
      </c>
    </row>
    <row r="48" spans="1:15" x14ac:dyDescent="0.35">
      <c r="A48">
        <v>50</v>
      </c>
      <c r="B48">
        <v>1</v>
      </c>
      <c r="C48">
        <v>0</v>
      </c>
      <c r="D48">
        <v>2</v>
      </c>
      <c r="E48">
        <v>0</v>
      </c>
      <c r="F48">
        <v>2496512.67</v>
      </c>
      <c r="G48" t="s">
        <v>80</v>
      </c>
      <c r="H48" t="s">
        <v>206</v>
      </c>
      <c r="K48">
        <v>212</v>
      </c>
      <c r="L48">
        <v>29</v>
      </c>
      <c r="M48">
        <v>0</v>
      </c>
      <c r="O48">
        <v>2</v>
      </c>
    </row>
    <row r="50" spans="1:17" x14ac:dyDescent="0.35">
      <c r="A50">
        <v>-1</v>
      </c>
    </row>
    <row r="53" spans="1:17" x14ac:dyDescent="0.35">
      <c r="A53">
        <v>75</v>
      </c>
      <c r="B53" t="s">
        <v>319</v>
      </c>
      <c r="C53">
        <v>2017</v>
      </c>
      <c r="D53">
        <v>0</v>
      </c>
      <c r="E53">
        <v>9</v>
      </c>
      <c r="G53">
        <v>0</v>
      </c>
      <c r="H53">
        <v>1</v>
      </c>
      <c r="I53">
        <v>0</v>
      </c>
      <c r="J53">
        <v>3</v>
      </c>
      <c r="K53">
        <v>0</v>
      </c>
      <c r="L53">
        <v>0</v>
      </c>
      <c r="M53">
        <v>0</v>
      </c>
      <c r="N53">
        <v>502564877</v>
      </c>
      <c r="O53">
        <v>1</v>
      </c>
    </row>
    <row r="54" spans="1:17" x14ac:dyDescent="0.35">
      <c r="A54">
        <v>1</v>
      </c>
      <c r="B54" t="s">
        <v>320</v>
      </c>
      <c r="C54" t="s">
        <v>321</v>
      </c>
      <c r="D54">
        <v>2017</v>
      </c>
      <c r="E54">
        <v>9</v>
      </c>
      <c r="F54">
        <v>1</v>
      </c>
      <c r="G54">
        <v>1</v>
      </c>
      <c r="H54">
        <v>0</v>
      </c>
      <c r="I54">
        <v>2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31"/>
  <sheetViews>
    <sheetView zoomScaleNormal="100" workbookViewId="0"/>
  </sheetViews>
  <sheetFormatPr defaultRowHeight="12.75" x14ac:dyDescent="0.35"/>
  <cols>
    <col min="1" max="1025" width="9" customWidth="1"/>
  </cols>
  <sheetData>
    <row r="1" spans="1:106" x14ac:dyDescent="0.35">
      <c r="A1">
        <f>ROW(Source!A28)</f>
        <v>28</v>
      </c>
      <c r="B1">
        <v>502564877</v>
      </c>
      <c r="C1">
        <v>502565299</v>
      </c>
      <c r="D1">
        <v>37772340</v>
      </c>
      <c r="E1">
        <v>1</v>
      </c>
      <c r="F1">
        <v>1</v>
      </c>
      <c r="G1">
        <v>1</v>
      </c>
      <c r="H1">
        <v>1</v>
      </c>
      <c r="I1" t="s">
        <v>323</v>
      </c>
      <c r="K1" t="s">
        <v>324</v>
      </c>
      <c r="L1">
        <v>1369</v>
      </c>
      <c r="N1">
        <v>1013</v>
      </c>
      <c r="O1" t="s">
        <v>325</v>
      </c>
      <c r="P1" t="s">
        <v>325</v>
      </c>
      <c r="Q1">
        <v>1</v>
      </c>
      <c r="W1">
        <v>0</v>
      </c>
      <c r="X1">
        <v>254330056</v>
      </c>
      <c r="Y1">
        <v>10.672000000000001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9.2799999999999994</v>
      </c>
      <c r="AU1" t="s">
        <v>64</v>
      </c>
      <c r="AV1">
        <v>1</v>
      </c>
      <c r="AW1">
        <v>2</v>
      </c>
      <c r="AX1">
        <v>502565305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1.8483904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35">
      <c r="A2">
        <f>ROW(Source!A28)</f>
        <v>28</v>
      </c>
      <c r="B2">
        <v>502564877</v>
      </c>
      <c r="C2">
        <v>502565299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72</v>
      </c>
      <c r="K2" t="s">
        <v>326</v>
      </c>
      <c r="L2">
        <v>608254</v>
      </c>
      <c r="N2">
        <v>1013</v>
      </c>
      <c r="O2" t="s">
        <v>327</v>
      </c>
      <c r="P2" t="s">
        <v>327</v>
      </c>
      <c r="Q2">
        <v>1</v>
      </c>
      <c r="W2">
        <v>0</v>
      </c>
      <c r="X2">
        <v>-185737400</v>
      </c>
      <c r="Y2">
        <v>33.637500000000003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26.91</v>
      </c>
      <c r="AU2" t="s">
        <v>63</v>
      </c>
      <c r="AV2">
        <v>2</v>
      </c>
      <c r="AW2">
        <v>2</v>
      </c>
      <c r="AX2">
        <v>502565306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5.8260149999999999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35">
      <c r="A3">
        <f>ROW(Source!A28)</f>
        <v>28</v>
      </c>
      <c r="B3">
        <v>502564877</v>
      </c>
      <c r="C3">
        <v>502565299</v>
      </c>
      <c r="D3">
        <v>338037195</v>
      </c>
      <c r="E3">
        <v>1</v>
      </c>
      <c r="F3">
        <v>1</v>
      </c>
      <c r="G3">
        <v>1</v>
      </c>
      <c r="H3">
        <v>2</v>
      </c>
      <c r="I3" t="s">
        <v>328</v>
      </c>
      <c r="J3" t="s">
        <v>329</v>
      </c>
      <c r="K3" t="s">
        <v>330</v>
      </c>
      <c r="L3">
        <v>1368</v>
      </c>
      <c r="N3">
        <v>91022270</v>
      </c>
      <c r="O3" t="s">
        <v>331</v>
      </c>
      <c r="P3" t="s">
        <v>331</v>
      </c>
      <c r="Q3">
        <v>1</v>
      </c>
      <c r="W3">
        <v>0</v>
      </c>
      <c r="X3">
        <v>1906800380</v>
      </c>
      <c r="Y3">
        <v>25.662500000000001</v>
      </c>
      <c r="AA3">
        <v>0</v>
      </c>
      <c r="AB3">
        <v>946.52</v>
      </c>
      <c r="AC3">
        <v>333.72</v>
      </c>
      <c r="AD3">
        <v>0</v>
      </c>
      <c r="AE3">
        <v>0</v>
      </c>
      <c r="AF3">
        <v>125.7</v>
      </c>
      <c r="AG3">
        <v>13.5</v>
      </c>
      <c r="AH3">
        <v>0</v>
      </c>
      <c r="AI3">
        <v>1</v>
      </c>
      <c r="AJ3">
        <v>7.53</v>
      </c>
      <c r="AK3">
        <v>24.72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20.53</v>
      </c>
      <c r="AU3" t="s">
        <v>63</v>
      </c>
      <c r="AV3">
        <v>0</v>
      </c>
      <c r="AW3">
        <v>2</v>
      </c>
      <c r="AX3">
        <v>502565307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4.4447450000000002</v>
      </c>
      <c r="CY3">
        <f>AB3</f>
        <v>946.52</v>
      </c>
      <c r="CZ3">
        <f>AF3</f>
        <v>125.7</v>
      </c>
      <c r="DA3">
        <f>AJ3</f>
        <v>7.53</v>
      </c>
      <c r="DB3">
        <v>0</v>
      </c>
    </row>
    <row r="4" spans="1:106" x14ac:dyDescent="0.35">
      <c r="A4">
        <f>ROW(Source!A28)</f>
        <v>28</v>
      </c>
      <c r="B4">
        <v>502564877</v>
      </c>
      <c r="C4">
        <v>502565299</v>
      </c>
      <c r="D4">
        <v>338037300</v>
      </c>
      <c r="E4">
        <v>1</v>
      </c>
      <c r="F4">
        <v>1</v>
      </c>
      <c r="G4">
        <v>1</v>
      </c>
      <c r="H4">
        <v>2</v>
      </c>
      <c r="I4" t="s">
        <v>332</v>
      </c>
      <c r="J4" t="s">
        <v>333</v>
      </c>
      <c r="K4" t="s">
        <v>334</v>
      </c>
      <c r="L4">
        <v>1368</v>
      </c>
      <c r="N4">
        <v>91022270</v>
      </c>
      <c r="O4" t="s">
        <v>331</v>
      </c>
      <c r="P4" t="s">
        <v>331</v>
      </c>
      <c r="Q4">
        <v>1</v>
      </c>
      <c r="W4">
        <v>0</v>
      </c>
      <c r="X4">
        <v>-229935220</v>
      </c>
      <c r="Y4">
        <v>7.9749999999999996</v>
      </c>
      <c r="AA4">
        <v>0</v>
      </c>
      <c r="AB4">
        <v>751.29</v>
      </c>
      <c r="AC4">
        <v>333.72</v>
      </c>
      <c r="AD4">
        <v>0</v>
      </c>
      <c r="AE4">
        <v>0</v>
      </c>
      <c r="AF4">
        <v>80.010000000000005</v>
      </c>
      <c r="AG4">
        <v>13.5</v>
      </c>
      <c r="AH4">
        <v>0</v>
      </c>
      <c r="AI4">
        <v>1</v>
      </c>
      <c r="AJ4">
        <v>9.39</v>
      </c>
      <c r="AK4">
        <v>24.72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6.38</v>
      </c>
      <c r="AU4" t="s">
        <v>63</v>
      </c>
      <c r="AV4">
        <v>0</v>
      </c>
      <c r="AW4">
        <v>2</v>
      </c>
      <c r="AX4">
        <v>502565308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1.3812699999999998</v>
      </c>
      <c r="CY4">
        <f>AB4</f>
        <v>751.29</v>
      </c>
      <c r="CZ4">
        <f>AF4</f>
        <v>80.010000000000005</v>
      </c>
      <c r="DA4">
        <f>AJ4</f>
        <v>9.39</v>
      </c>
      <c r="DB4">
        <v>0</v>
      </c>
    </row>
    <row r="5" spans="1:106" x14ac:dyDescent="0.35">
      <c r="A5">
        <f>ROW(Source!A28)</f>
        <v>28</v>
      </c>
      <c r="B5">
        <v>502564877</v>
      </c>
      <c r="C5">
        <v>502565299</v>
      </c>
      <c r="D5">
        <v>338013933</v>
      </c>
      <c r="E5">
        <v>1</v>
      </c>
      <c r="F5">
        <v>1</v>
      </c>
      <c r="G5">
        <v>1</v>
      </c>
      <c r="H5">
        <v>3</v>
      </c>
      <c r="I5" t="s">
        <v>335</v>
      </c>
      <c r="J5" t="s">
        <v>336</v>
      </c>
      <c r="K5" t="s">
        <v>337</v>
      </c>
      <c r="L5">
        <v>1339</v>
      </c>
      <c r="N5">
        <v>1007</v>
      </c>
      <c r="O5" t="s">
        <v>112</v>
      </c>
      <c r="P5" t="s">
        <v>112</v>
      </c>
      <c r="Q5">
        <v>1</v>
      </c>
      <c r="W5">
        <v>0</v>
      </c>
      <c r="X5">
        <v>1436570817</v>
      </c>
      <c r="Y5">
        <v>0.03</v>
      </c>
      <c r="AA5">
        <v>1357.17</v>
      </c>
      <c r="AB5">
        <v>0</v>
      </c>
      <c r="AC5">
        <v>0</v>
      </c>
      <c r="AD5">
        <v>0</v>
      </c>
      <c r="AE5">
        <v>108.4</v>
      </c>
      <c r="AF5">
        <v>0</v>
      </c>
      <c r="AG5">
        <v>0</v>
      </c>
      <c r="AH5">
        <v>0</v>
      </c>
      <c r="AI5">
        <v>12.52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0.03</v>
      </c>
      <c r="AV5">
        <v>0</v>
      </c>
      <c r="AW5">
        <v>2</v>
      </c>
      <c r="AX5">
        <v>502565309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5.1959999999999992E-3</v>
      </c>
      <c r="CY5">
        <f>AA5</f>
        <v>1357.17</v>
      </c>
      <c r="CZ5">
        <f>AE5</f>
        <v>108.4</v>
      </c>
      <c r="DA5">
        <f>AI5</f>
        <v>12.52</v>
      </c>
      <c r="DB5">
        <v>0</v>
      </c>
    </row>
    <row r="6" spans="1:106" x14ac:dyDescent="0.35">
      <c r="A6">
        <f>ROW(Source!A29)</f>
        <v>29</v>
      </c>
      <c r="B6">
        <v>502564877</v>
      </c>
      <c r="C6">
        <v>502573516</v>
      </c>
      <c r="D6">
        <v>338039354</v>
      </c>
      <c r="E6">
        <v>1</v>
      </c>
      <c r="F6">
        <v>1</v>
      </c>
      <c r="G6">
        <v>1</v>
      </c>
      <c r="H6">
        <v>2</v>
      </c>
      <c r="I6" t="s">
        <v>338</v>
      </c>
      <c r="J6" t="s">
        <v>339</v>
      </c>
      <c r="K6" t="s">
        <v>340</v>
      </c>
      <c r="L6">
        <v>1368</v>
      </c>
      <c r="N6">
        <v>91022270</v>
      </c>
      <c r="O6" t="s">
        <v>331</v>
      </c>
      <c r="P6" t="s">
        <v>331</v>
      </c>
      <c r="Q6">
        <v>1</v>
      </c>
      <c r="W6">
        <v>0</v>
      </c>
      <c r="X6">
        <v>-20649614</v>
      </c>
      <c r="Y6">
        <v>0.17150000000000001</v>
      </c>
      <c r="AA6">
        <v>0</v>
      </c>
      <c r="AB6">
        <v>840.15</v>
      </c>
      <c r="AC6">
        <v>333.72</v>
      </c>
      <c r="AD6">
        <v>0</v>
      </c>
      <c r="AE6">
        <v>0</v>
      </c>
      <c r="AF6">
        <v>112.47</v>
      </c>
      <c r="AG6">
        <v>13.5</v>
      </c>
      <c r="AH6">
        <v>0</v>
      </c>
      <c r="AI6">
        <v>1</v>
      </c>
      <c r="AJ6">
        <v>7.47</v>
      </c>
      <c r="AK6">
        <v>24.72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0.17150000000000001</v>
      </c>
      <c r="AV6">
        <v>0</v>
      </c>
      <c r="AW6">
        <v>2</v>
      </c>
      <c r="AX6">
        <v>502573519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53.466840000000005</v>
      </c>
      <c r="CY6">
        <f>AB6</f>
        <v>840.15</v>
      </c>
      <c r="CZ6">
        <f>AF6</f>
        <v>112.47</v>
      </c>
      <c r="DA6">
        <f>AJ6</f>
        <v>7.47</v>
      </c>
      <c r="DB6">
        <v>0</v>
      </c>
    </row>
    <row r="7" spans="1:106" x14ac:dyDescent="0.35">
      <c r="A7">
        <f>ROW(Source!A30)</f>
        <v>30</v>
      </c>
      <c r="B7">
        <v>502564877</v>
      </c>
      <c r="C7">
        <v>502565389</v>
      </c>
      <c r="D7">
        <v>37776094</v>
      </c>
      <c r="E7">
        <v>1</v>
      </c>
      <c r="F7">
        <v>1</v>
      </c>
      <c r="G7">
        <v>1</v>
      </c>
      <c r="H7">
        <v>1</v>
      </c>
      <c r="I7" t="s">
        <v>341</v>
      </c>
      <c r="K7" t="s">
        <v>342</v>
      </c>
      <c r="L7">
        <v>1369</v>
      </c>
      <c r="N7">
        <v>1013</v>
      </c>
      <c r="O7" t="s">
        <v>325</v>
      </c>
      <c r="P7" t="s">
        <v>325</v>
      </c>
      <c r="Q7">
        <v>1</v>
      </c>
      <c r="W7">
        <v>0</v>
      </c>
      <c r="X7">
        <v>1415306217</v>
      </c>
      <c r="Y7">
        <v>44.712000000000003</v>
      </c>
      <c r="AA7">
        <v>0</v>
      </c>
      <c r="AB7">
        <v>0</v>
      </c>
      <c r="AC7">
        <v>0</v>
      </c>
      <c r="AD7">
        <v>8.31</v>
      </c>
      <c r="AE7">
        <v>0</v>
      </c>
      <c r="AF7">
        <v>0</v>
      </c>
      <c r="AG7">
        <v>0</v>
      </c>
      <c r="AH7">
        <v>8.31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38.880000000000003</v>
      </c>
      <c r="AU7" t="s">
        <v>64</v>
      </c>
      <c r="AV7">
        <v>1</v>
      </c>
      <c r="AW7">
        <v>2</v>
      </c>
      <c r="AX7">
        <v>502572306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13.19004</v>
      </c>
      <c r="CY7">
        <f>AD7</f>
        <v>8.31</v>
      </c>
      <c r="CZ7">
        <f>AH7</f>
        <v>8.31</v>
      </c>
      <c r="DA7">
        <f>AL7</f>
        <v>1</v>
      </c>
      <c r="DB7">
        <v>0</v>
      </c>
    </row>
    <row r="8" spans="1:106" x14ac:dyDescent="0.35">
      <c r="A8">
        <f>ROW(Source!A30)</f>
        <v>30</v>
      </c>
      <c r="B8">
        <v>502564877</v>
      </c>
      <c r="C8">
        <v>502565389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72</v>
      </c>
      <c r="K8" t="s">
        <v>326</v>
      </c>
      <c r="L8">
        <v>608254</v>
      </c>
      <c r="N8">
        <v>1013</v>
      </c>
      <c r="O8" t="s">
        <v>327</v>
      </c>
      <c r="P8" t="s">
        <v>327</v>
      </c>
      <c r="Q8">
        <v>1</v>
      </c>
      <c r="W8">
        <v>0</v>
      </c>
      <c r="X8">
        <v>-185737400</v>
      </c>
      <c r="Y8">
        <v>5.2874999999999996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4.2300000000000004</v>
      </c>
      <c r="AU8" t="s">
        <v>63</v>
      </c>
      <c r="AV8">
        <v>2</v>
      </c>
      <c r="AW8">
        <v>2</v>
      </c>
      <c r="AX8">
        <v>502572307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1.5598124999999998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35">
      <c r="A9">
        <f>ROW(Source!A30)</f>
        <v>30</v>
      </c>
      <c r="B9">
        <v>502564877</v>
      </c>
      <c r="C9">
        <v>502565389</v>
      </c>
      <c r="D9">
        <v>338036908</v>
      </c>
      <c r="E9">
        <v>1</v>
      </c>
      <c r="F9">
        <v>1</v>
      </c>
      <c r="G9">
        <v>1</v>
      </c>
      <c r="H9">
        <v>2</v>
      </c>
      <c r="I9" t="s">
        <v>343</v>
      </c>
      <c r="J9" t="s">
        <v>344</v>
      </c>
      <c r="K9" t="s">
        <v>345</v>
      </c>
      <c r="L9">
        <v>1368</v>
      </c>
      <c r="N9">
        <v>91022270</v>
      </c>
      <c r="O9" t="s">
        <v>331</v>
      </c>
      <c r="P9" t="s">
        <v>331</v>
      </c>
      <c r="Q9">
        <v>1</v>
      </c>
      <c r="W9">
        <v>0</v>
      </c>
      <c r="X9">
        <v>1549832887</v>
      </c>
      <c r="Y9">
        <v>1.1000000000000001</v>
      </c>
      <c r="AA9">
        <v>0</v>
      </c>
      <c r="AB9">
        <v>681.25</v>
      </c>
      <c r="AC9">
        <v>248.68</v>
      </c>
      <c r="AD9">
        <v>0</v>
      </c>
      <c r="AE9">
        <v>0</v>
      </c>
      <c r="AF9">
        <v>99.89</v>
      </c>
      <c r="AG9">
        <v>10.06</v>
      </c>
      <c r="AH9">
        <v>0</v>
      </c>
      <c r="AI9">
        <v>1</v>
      </c>
      <c r="AJ9">
        <v>6.82</v>
      </c>
      <c r="AK9">
        <v>24.72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0.88</v>
      </c>
      <c r="AU9" t="s">
        <v>63</v>
      </c>
      <c r="AV9">
        <v>0</v>
      </c>
      <c r="AW9">
        <v>2</v>
      </c>
      <c r="AX9">
        <v>502572308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0.32450000000000001</v>
      </c>
      <c r="CY9">
        <f>AB9</f>
        <v>681.25</v>
      </c>
      <c r="CZ9">
        <f>AF9</f>
        <v>99.89</v>
      </c>
      <c r="DA9">
        <f>AJ9</f>
        <v>6.82</v>
      </c>
      <c r="DB9">
        <v>0</v>
      </c>
    </row>
    <row r="10" spans="1:106" x14ac:dyDescent="0.35">
      <c r="A10">
        <f>ROW(Source!A30)</f>
        <v>30</v>
      </c>
      <c r="B10">
        <v>502564877</v>
      </c>
      <c r="C10">
        <v>502565389</v>
      </c>
      <c r="D10">
        <v>338037063</v>
      </c>
      <c r="E10">
        <v>1</v>
      </c>
      <c r="F10">
        <v>1</v>
      </c>
      <c r="G10">
        <v>1</v>
      </c>
      <c r="H10">
        <v>2</v>
      </c>
      <c r="I10" t="s">
        <v>346</v>
      </c>
      <c r="J10" t="s">
        <v>347</v>
      </c>
      <c r="K10" t="s">
        <v>348</v>
      </c>
      <c r="L10">
        <v>1368</v>
      </c>
      <c r="N10">
        <v>91022270</v>
      </c>
      <c r="O10" t="s">
        <v>331</v>
      </c>
      <c r="P10" t="s">
        <v>331</v>
      </c>
      <c r="Q10">
        <v>1</v>
      </c>
      <c r="W10">
        <v>0</v>
      </c>
      <c r="X10">
        <v>2028861294</v>
      </c>
      <c r="Y10">
        <v>4</v>
      </c>
      <c r="AA10">
        <v>0</v>
      </c>
      <c r="AB10">
        <v>311.61</v>
      </c>
      <c r="AC10">
        <v>286.75</v>
      </c>
      <c r="AD10">
        <v>0</v>
      </c>
      <c r="AE10">
        <v>0</v>
      </c>
      <c r="AF10">
        <v>22.29</v>
      </c>
      <c r="AG10">
        <v>11.6</v>
      </c>
      <c r="AH10">
        <v>0</v>
      </c>
      <c r="AI10">
        <v>1</v>
      </c>
      <c r="AJ10">
        <v>13.98</v>
      </c>
      <c r="AK10">
        <v>24.72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3.2</v>
      </c>
      <c r="AU10" t="s">
        <v>63</v>
      </c>
      <c r="AV10">
        <v>0</v>
      </c>
      <c r="AW10">
        <v>2</v>
      </c>
      <c r="AX10">
        <v>502572309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1.18</v>
      </c>
      <c r="CY10">
        <f>AB10</f>
        <v>311.61</v>
      </c>
      <c r="CZ10">
        <f>AF10</f>
        <v>22.29</v>
      </c>
      <c r="DA10">
        <f>AJ10</f>
        <v>13.98</v>
      </c>
      <c r="DB10">
        <v>0</v>
      </c>
    </row>
    <row r="11" spans="1:106" x14ac:dyDescent="0.35">
      <c r="A11">
        <f>ROW(Source!A30)</f>
        <v>30</v>
      </c>
      <c r="B11">
        <v>502564877</v>
      </c>
      <c r="C11">
        <v>502565389</v>
      </c>
      <c r="D11">
        <v>338037611</v>
      </c>
      <c r="E11">
        <v>1</v>
      </c>
      <c r="F11">
        <v>1</v>
      </c>
      <c r="G11">
        <v>1</v>
      </c>
      <c r="H11">
        <v>2</v>
      </c>
      <c r="I11" t="s">
        <v>349</v>
      </c>
      <c r="J11" t="s">
        <v>350</v>
      </c>
      <c r="K11" t="s">
        <v>351</v>
      </c>
      <c r="L11">
        <v>1368</v>
      </c>
      <c r="N11">
        <v>91022270</v>
      </c>
      <c r="O11" t="s">
        <v>331</v>
      </c>
      <c r="P11" t="s">
        <v>331</v>
      </c>
      <c r="Q11">
        <v>1</v>
      </c>
      <c r="W11">
        <v>0</v>
      </c>
      <c r="X11">
        <v>-1754144589</v>
      </c>
      <c r="Y11">
        <v>0.1875</v>
      </c>
      <c r="AA11">
        <v>0</v>
      </c>
      <c r="AB11">
        <v>867.15</v>
      </c>
      <c r="AC11">
        <v>333.72</v>
      </c>
      <c r="AD11">
        <v>0</v>
      </c>
      <c r="AE11">
        <v>0</v>
      </c>
      <c r="AF11">
        <v>123</v>
      </c>
      <c r="AG11">
        <v>13.5</v>
      </c>
      <c r="AH11">
        <v>0</v>
      </c>
      <c r="AI11">
        <v>1</v>
      </c>
      <c r="AJ11">
        <v>7.05</v>
      </c>
      <c r="AK11">
        <v>24.72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0.15</v>
      </c>
      <c r="AU11" t="s">
        <v>63</v>
      </c>
      <c r="AV11">
        <v>0</v>
      </c>
      <c r="AW11">
        <v>2</v>
      </c>
      <c r="AX11">
        <v>502572310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5.5312500000000001E-2</v>
      </c>
      <c r="CY11">
        <f>AB11</f>
        <v>867.15</v>
      </c>
      <c r="CZ11">
        <f>AF11</f>
        <v>123</v>
      </c>
      <c r="DA11">
        <f>AJ11</f>
        <v>7.05</v>
      </c>
      <c r="DB11">
        <v>0</v>
      </c>
    </row>
    <row r="12" spans="1:106" x14ac:dyDescent="0.35">
      <c r="A12">
        <f>ROW(Source!A30)</f>
        <v>30</v>
      </c>
      <c r="B12">
        <v>502564877</v>
      </c>
      <c r="C12">
        <v>502565389</v>
      </c>
      <c r="D12">
        <v>338039020</v>
      </c>
      <c r="E12">
        <v>1</v>
      </c>
      <c r="F12">
        <v>1</v>
      </c>
      <c r="G12">
        <v>1</v>
      </c>
      <c r="H12">
        <v>2</v>
      </c>
      <c r="I12" t="s">
        <v>352</v>
      </c>
      <c r="J12" t="s">
        <v>353</v>
      </c>
      <c r="K12" t="s">
        <v>354</v>
      </c>
      <c r="L12">
        <v>1368</v>
      </c>
      <c r="N12">
        <v>91022270</v>
      </c>
      <c r="O12" t="s">
        <v>331</v>
      </c>
      <c r="P12" t="s">
        <v>331</v>
      </c>
      <c r="Q12">
        <v>1</v>
      </c>
      <c r="W12">
        <v>0</v>
      </c>
      <c r="X12">
        <v>1042522176</v>
      </c>
      <c r="Y12">
        <v>4</v>
      </c>
      <c r="AA12">
        <v>0</v>
      </c>
      <c r="AB12">
        <v>9.11</v>
      </c>
      <c r="AC12">
        <v>0</v>
      </c>
      <c r="AD12">
        <v>0</v>
      </c>
      <c r="AE12">
        <v>0</v>
      </c>
      <c r="AF12">
        <v>0.95</v>
      </c>
      <c r="AG12">
        <v>0</v>
      </c>
      <c r="AH12">
        <v>0</v>
      </c>
      <c r="AI12">
        <v>1</v>
      </c>
      <c r="AJ12">
        <v>9.59</v>
      </c>
      <c r="AK12">
        <v>24.72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3.2</v>
      </c>
      <c r="AU12" t="s">
        <v>63</v>
      </c>
      <c r="AV12">
        <v>0</v>
      </c>
      <c r="AW12">
        <v>2</v>
      </c>
      <c r="AX12">
        <v>502572311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1.18</v>
      </c>
      <c r="CY12">
        <f>AB12</f>
        <v>9.11</v>
      </c>
      <c r="CZ12">
        <f>AF12</f>
        <v>0.95</v>
      </c>
      <c r="DA12">
        <f>AJ12</f>
        <v>9.59</v>
      </c>
      <c r="DB12">
        <v>0</v>
      </c>
    </row>
    <row r="13" spans="1:106" x14ac:dyDescent="0.35">
      <c r="A13">
        <f>ROW(Source!A30)</f>
        <v>30</v>
      </c>
      <c r="B13">
        <v>502564877</v>
      </c>
      <c r="C13">
        <v>502565389</v>
      </c>
      <c r="D13">
        <v>338039342</v>
      </c>
      <c r="E13">
        <v>1</v>
      </c>
      <c r="F13">
        <v>1</v>
      </c>
      <c r="G13">
        <v>1</v>
      </c>
      <c r="H13">
        <v>2</v>
      </c>
      <c r="I13" t="s">
        <v>355</v>
      </c>
      <c r="J13" t="s">
        <v>356</v>
      </c>
      <c r="K13" t="s">
        <v>357</v>
      </c>
      <c r="L13">
        <v>1368</v>
      </c>
      <c r="N13">
        <v>91022270</v>
      </c>
      <c r="O13" t="s">
        <v>331</v>
      </c>
      <c r="P13" t="s">
        <v>331</v>
      </c>
      <c r="Q13">
        <v>1</v>
      </c>
      <c r="W13">
        <v>0</v>
      </c>
      <c r="X13">
        <v>1230759911</v>
      </c>
      <c r="Y13">
        <v>0.1125</v>
      </c>
      <c r="AA13">
        <v>0</v>
      </c>
      <c r="AB13">
        <v>785.4</v>
      </c>
      <c r="AC13">
        <v>286.75</v>
      </c>
      <c r="AD13">
        <v>0</v>
      </c>
      <c r="AE13">
        <v>0</v>
      </c>
      <c r="AF13">
        <v>87.17</v>
      </c>
      <c r="AG13">
        <v>11.6</v>
      </c>
      <c r="AH13">
        <v>0</v>
      </c>
      <c r="AI13">
        <v>1</v>
      </c>
      <c r="AJ13">
        <v>9.01</v>
      </c>
      <c r="AK13">
        <v>24.72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0.09</v>
      </c>
      <c r="AU13" t="s">
        <v>63</v>
      </c>
      <c r="AV13">
        <v>0</v>
      </c>
      <c r="AW13">
        <v>2</v>
      </c>
      <c r="AX13">
        <v>502572312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3.3187500000000002E-2</v>
      </c>
      <c r="CY13">
        <f>AB13</f>
        <v>785.4</v>
      </c>
      <c r="CZ13">
        <f>AF13</f>
        <v>87.17</v>
      </c>
      <c r="DA13">
        <f>AJ13</f>
        <v>9.01</v>
      </c>
      <c r="DB13">
        <v>0</v>
      </c>
    </row>
    <row r="14" spans="1:106" x14ac:dyDescent="0.35">
      <c r="A14">
        <f>ROW(Source!A30)</f>
        <v>30</v>
      </c>
      <c r="B14">
        <v>502564877</v>
      </c>
      <c r="C14">
        <v>502565389</v>
      </c>
      <c r="D14">
        <v>337973571</v>
      </c>
      <c r="E14">
        <v>1</v>
      </c>
      <c r="F14">
        <v>1</v>
      </c>
      <c r="G14">
        <v>1</v>
      </c>
      <c r="H14">
        <v>3</v>
      </c>
      <c r="I14" t="s">
        <v>358</v>
      </c>
      <c r="J14" t="s">
        <v>359</v>
      </c>
      <c r="K14" t="s">
        <v>360</v>
      </c>
      <c r="L14">
        <v>369160830</v>
      </c>
      <c r="N14">
        <v>1005</v>
      </c>
      <c r="O14" t="s">
        <v>361</v>
      </c>
      <c r="P14" t="s">
        <v>361</v>
      </c>
      <c r="Q14">
        <v>1</v>
      </c>
      <c r="W14">
        <v>0</v>
      </c>
      <c r="X14">
        <v>297516716</v>
      </c>
      <c r="Y14">
        <v>76</v>
      </c>
      <c r="AA14">
        <v>17.7</v>
      </c>
      <c r="AB14">
        <v>0</v>
      </c>
      <c r="AC14">
        <v>0</v>
      </c>
      <c r="AD14">
        <v>0</v>
      </c>
      <c r="AE14">
        <v>6.78</v>
      </c>
      <c r="AF14">
        <v>0</v>
      </c>
      <c r="AG14">
        <v>0</v>
      </c>
      <c r="AH14">
        <v>0</v>
      </c>
      <c r="AI14">
        <v>2.61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76</v>
      </c>
      <c r="AV14">
        <v>0</v>
      </c>
      <c r="AW14">
        <v>2</v>
      </c>
      <c r="AX14">
        <v>502572313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22.419999999999998</v>
      </c>
      <c r="CY14">
        <f>AA14</f>
        <v>17.7</v>
      </c>
      <c r="CZ14">
        <f>AE14</f>
        <v>6.78</v>
      </c>
      <c r="DA14">
        <f>AI14</f>
        <v>2.61</v>
      </c>
      <c r="DB14">
        <v>0</v>
      </c>
    </row>
    <row r="15" spans="1:106" x14ac:dyDescent="0.35">
      <c r="A15">
        <f>ROW(Source!A30)</f>
        <v>30</v>
      </c>
      <c r="B15">
        <v>502564877</v>
      </c>
      <c r="C15">
        <v>502565389</v>
      </c>
      <c r="D15">
        <v>337971692</v>
      </c>
      <c r="E15">
        <v>1</v>
      </c>
      <c r="F15">
        <v>1</v>
      </c>
      <c r="G15">
        <v>1</v>
      </c>
      <c r="H15">
        <v>3</v>
      </c>
      <c r="I15" t="s">
        <v>362</v>
      </c>
      <c r="J15" t="s">
        <v>363</v>
      </c>
      <c r="K15" t="s">
        <v>364</v>
      </c>
      <c r="L15">
        <v>1301</v>
      </c>
      <c r="N15">
        <v>1003</v>
      </c>
      <c r="O15" t="s">
        <v>365</v>
      </c>
      <c r="P15" t="s">
        <v>365</v>
      </c>
      <c r="Q15">
        <v>1</v>
      </c>
      <c r="W15">
        <v>0</v>
      </c>
      <c r="X15">
        <v>737915816</v>
      </c>
      <c r="Y15">
        <v>69.5</v>
      </c>
      <c r="AA15">
        <v>73.849999999999994</v>
      </c>
      <c r="AB15">
        <v>0</v>
      </c>
      <c r="AC15">
        <v>0</v>
      </c>
      <c r="AD15">
        <v>0</v>
      </c>
      <c r="AE15">
        <v>14.48</v>
      </c>
      <c r="AF15">
        <v>0</v>
      </c>
      <c r="AG15">
        <v>0</v>
      </c>
      <c r="AH15">
        <v>0</v>
      </c>
      <c r="AI15">
        <v>5.0999999999999996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69.5</v>
      </c>
      <c r="AV15">
        <v>0</v>
      </c>
      <c r="AW15">
        <v>2</v>
      </c>
      <c r="AX15">
        <v>502572314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20.502499999999998</v>
      </c>
      <c r="CY15">
        <f>AA15</f>
        <v>73.849999999999994</v>
      </c>
      <c r="CZ15">
        <f>AE15</f>
        <v>14.48</v>
      </c>
      <c r="DA15">
        <f>AI15</f>
        <v>5.0999999999999996</v>
      </c>
      <c r="DB15">
        <v>0</v>
      </c>
    </row>
    <row r="16" spans="1:106" x14ac:dyDescent="0.35">
      <c r="A16">
        <f>ROW(Source!A30)</f>
        <v>30</v>
      </c>
      <c r="B16">
        <v>502564877</v>
      </c>
      <c r="C16">
        <v>502565389</v>
      </c>
      <c r="D16">
        <v>337983711</v>
      </c>
      <c r="E16">
        <v>1</v>
      </c>
      <c r="F16">
        <v>1</v>
      </c>
      <c r="G16">
        <v>1</v>
      </c>
      <c r="H16">
        <v>3</v>
      </c>
      <c r="I16" t="s">
        <v>366</v>
      </c>
      <c r="J16" t="s">
        <v>367</v>
      </c>
      <c r="K16" t="s">
        <v>368</v>
      </c>
      <c r="L16">
        <v>1330</v>
      </c>
      <c r="N16">
        <v>1005</v>
      </c>
      <c r="O16" t="s">
        <v>369</v>
      </c>
      <c r="P16" t="s">
        <v>369</v>
      </c>
      <c r="Q16">
        <v>10</v>
      </c>
      <c r="W16">
        <v>0</v>
      </c>
      <c r="X16">
        <v>-1673874995</v>
      </c>
      <c r="Y16">
        <v>7.6</v>
      </c>
      <c r="AA16">
        <v>220.75</v>
      </c>
      <c r="AB16">
        <v>0</v>
      </c>
      <c r="AC16">
        <v>0</v>
      </c>
      <c r="AD16">
        <v>0</v>
      </c>
      <c r="AE16">
        <v>21.9</v>
      </c>
      <c r="AF16">
        <v>0</v>
      </c>
      <c r="AG16">
        <v>0</v>
      </c>
      <c r="AH16">
        <v>0</v>
      </c>
      <c r="AI16">
        <v>10.08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7.6</v>
      </c>
      <c r="AV16">
        <v>0</v>
      </c>
      <c r="AW16">
        <v>2</v>
      </c>
      <c r="AX16">
        <v>502572315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2.242</v>
      </c>
      <c r="CY16">
        <f>AA16</f>
        <v>220.75</v>
      </c>
      <c r="CZ16">
        <f>AE16</f>
        <v>21.9</v>
      </c>
      <c r="DA16">
        <f>AI16</f>
        <v>10.08</v>
      </c>
      <c r="DB16">
        <v>0</v>
      </c>
    </row>
    <row r="17" spans="1:106" x14ac:dyDescent="0.35">
      <c r="A17">
        <f>ROW(Source!A30)</f>
        <v>30</v>
      </c>
      <c r="B17">
        <v>502564877</v>
      </c>
      <c r="C17">
        <v>502565389</v>
      </c>
      <c r="D17">
        <v>338013933</v>
      </c>
      <c r="E17">
        <v>1</v>
      </c>
      <c r="F17">
        <v>1</v>
      </c>
      <c r="G17">
        <v>1</v>
      </c>
      <c r="H17">
        <v>3</v>
      </c>
      <c r="I17" t="s">
        <v>335</v>
      </c>
      <c r="J17" t="s">
        <v>336</v>
      </c>
      <c r="K17" t="s">
        <v>337</v>
      </c>
      <c r="L17">
        <v>1339</v>
      </c>
      <c r="N17">
        <v>1007</v>
      </c>
      <c r="O17" t="s">
        <v>112</v>
      </c>
      <c r="P17" t="s">
        <v>112</v>
      </c>
      <c r="Q17">
        <v>1</v>
      </c>
      <c r="W17">
        <v>0</v>
      </c>
      <c r="X17">
        <v>1436570817</v>
      </c>
      <c r="Y17">
        <v>13.4</v>
      </c>
      <c r="AA17">
        <v>1357.17</v>
      </c>
      <c r="AB17">
        <v>0</v>
      </c>
      <c r="AC17">
        <v>0</v>
      </c>
      <c r="AD17">
        <v>0</v>
      </c>
      <c r="AE17">
        <v>108.4</v>
      </c>
      <c r="AF17">
        <v>0</v>
      </c>
      <c r="AG17">
        <v>0</v>
      </c>
      <c r="AH17">
        <v>0</v>
      </c>
      <c r="AI17">
        <v>12.52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13.4</v>
      </c>
      <c r="AV17">
        <v>0</v>
      </c>
      <c r="AW17">
        <v>2</v>
      </c>
      <c r="AX17">
        <v>502572316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3.9529999999999998</v>
      </c>
      <c r="CY17">
        <f>AA17</f>
        <v>1357.17</v>
      </c>
      <c r="CZ17">
        <f>AE17</f>
        <v>108.4</v>
      </c>
      <c r="DA17">
        <f>AI17</f>
        <v>12.52</v>
      </c>
      <c r="DB17">
        <v>0</v>
      </c>
    </row>
    <row r="18" spans="1:106" x14ac:dyDescent="0.35">
      <c r="A18">
        <f>ROW(Source!A31)</f>
        <v>31</v>
      </c>
      <c r="B18">
        <v>502564877</v>
      </c>
      <c r="C18">
        <v>502571822</v>
      </c>
      <c r="D18">
        <v>37775796</v>
      </c>
      <c r="E18">
        <v>1</v>
      </c>
      <c r="F18">
        <v>1</v>
      </c>
      <c r="G18">
        <v>1</v>
      </c>
      <c r="H18">
        <v>1</v>
      </c>
      <c r="I18" t="s">
        <v>370</v>
      </c>
      <c r="K18" t="s">
        <v>371</v>
      </c>
      <c r="L18">
        <v>1369</v>
      </c>
      <c r="N18">
        <v>1013</v>
      </c>
      <c r="O18" t="s">
        <v>325</v>
      </c>
      <c r="P18" t="s">
        <v>325</v>
      </c>
      <c r="Q18">
        <v>1</v>
      </c>
      <c r="W18">
        <v>0</v>
      </c>
      <c r="X18">
        <v>-1803619151</v>
      </c>
      <c r="Y18">
        <v>234.876</v>
      </c>
      <c r="AA18">
        <v>0</v>
      </c>
      <c r="AB18">
        <v>0</v>
      </c>
      <c r="AC18">
        <v>0</v>
      </c>
      <c r="AD18">
        <v>9.2899999999999991</v>
      </c>
      <c r="AE18">
        <v>0</v>
      </c>
      <c r="AF18">
        <v>0</v>
      </c>
      <c r="AG18">
        <v>0</v>
      </c>
      <c r="AH18">
        <v>9.2899999999999991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204.24</v>
      </c>
      <c r="AU18" t="s">
        <v>64</v>
      </c>
      <c r="AV18">
        <v>1</v>
      </c>
      <c r="AW18">
        <v>2</v>
      </c>
      <c r="AX18">
        <v>502571823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37.580159999999999</v>
      </c>
      <c r="CY18">
        <f>AD18</f>
        <v>9.2899999999999991</v>
      </c>
      <c r="CZ18">
        <f>AH18</f>
        <v>9.2899999999999991</v>
      </c>
      <c r="DA18">
        <f>AL18</f>
        <v>1</v>
      </c>
      <c r="DB18">
        <v>0</v>
      </c>
    </row>
    <row r="19" spans="1:106" x14ac:dyDescent="0.35">
      <c r="A19">
        <f>ROW(Source!A31)</f>
        <v>31</v>
      </c>
      <c r="B19">
        <v>502564877</v>
      </c>
      <c r="C19">
        <v>502571822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72</v>
      </c>
      <c r="K19" t="s">
        <v>326</v>
      </c>
      <c r="L19">
        <v>608254</v>
      </c>
      <c r="N19">
        <v>1013</v>
      </c>
      <c r="O19" t="s">
        <v>327</v>
      </c>
      <c r="P19" t="s">
        <v>327</v>
      </c>
      <c r="Q19">
        <v>1</v>
      </c>
      <c r="W19">
        <v>0</v>
      </c>
      <c r="X19">
        <v>-185737400</v>
      </c>
      <c r="Y19">
        <v>28.137499999999999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22.51</v>
      </c>
      <c r="AU19" t="s">
        <v>63</v>
      </c>
      <c r="AV19">
        <v>2</v>
      </c>
      <c r="AW19">
        <v>2</v>
      </c>
      <c r="AX19">
        <v>502571824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4.5019999999999998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35">
      <c r="A20">
        <f>ROW(Source!A31)</f>
        <v>31</v>
      </c>
      <c r="B20">
        <v>502564877</v>
      </c>
      <c r="C20">
        <v>502571822</v>
      </c>
      <c r="D20">
        <v>338036808</v>
      </c>
      <c r="E20">
        <v>1</v>
      </c>
      <c r="F20">
        <v>1</v>
      </c>
      <c r="G20">
        <v>1</v>
      </c>
      <c r="H20">
        <v>2</v>
      </c>
      <c r="I20" t="s">
        <v>372</v>
      </c>
      <c r="J20" t="s">
        <v>373</v>
      </c>
      <c r="K20" t="s">
        <v>374</v>
      </c>
      <c r="L20">
        <v>1368</v>
      </c>
      <c r="N20">
        <v>91022270</v>
      </c>
      <c r="O20" t="s">
        <v>331</v>
      </c>
      <c r="P20" t="s">
        <v>331</v>
      </c>
      <c r="Q20">
        <v>1</v>
      </c>
      <c r="W20">
        <v>0</v>
      </c>
      <c r="X20">
        <v>1106923569</v>
      </c>
      <c r="Y20">
        <v>5.3125</v>
      </c>
      <c r="AA20">
        <v>0</v>
      </c>
      <c r="AB20">
        <v>817.6</v>
      </c>
      <c r="AC20">
        <v>333.72</v>
      </c>
      <c r="AD20">
        <v>0</v>
      </c>
      <c r="AE20">
        <v>0</v>
      </c>
      <c r="AF20">
        <v>112</v>
      </c>
      <c r="AG20">
        <v>13.5</v>
      </c>
      <c r="AH20">
        <v>0</v>
      </c>
      <c r="AI20">
        <v>1</v>
      </c>
      <c r="AJ20">
        <v>7.3</v>
      </c>
      <c r="AK20">
        <v>24.72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4.25</v>
      </c>
      <c r="AU20" t="s">
        <v>63</v>
      </c>
      <c r="AV20">
        <v>0</v>
      </c>
      <c r="AW20">
        <v>2</v>
      </c>
      <c r="AX20">
        <v>502571825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0.85</v>
      </c>
      <c r="CY20">
        <f>AB20</f>
        <v>817.6</v>
      </c>
      <c r="CZ20">
        <f>AF20</f>
        <v>112</v>
      </c>
      <c r="DA20">
        <f>AJ20</f>
        <v>7.3</v>
      </c>
      <c r="DB20">
        <v>0</v>
      </c>
    </row>
    <row r="21" spans="1:106" x14ac:dyDescent="0.35">
      <c r="A21">
        <f>ROW(Source!A31)</f>
        <v>31</v>
      </c>
      <c r="B21">
        <v>502564877</v>
      </c>
      <c r="C21">
        <v>502571822</v>
      </c>
      <c r="D21">
        <v>338036837</v>
      </c>
      <c r="E21">
        <v>1</v>
      </c>
      <c r="F21">
        <v>1</v>
      </c>
      <c r="G21">
        <v>1</v>
      </c>
      <c r="H21">
        <v>2</v>
      </c>
      <c r="I21" t="s">
        <v>375</v>
      </c>
      <c r="J21" t="s">
        <v>376</v>
      </c>
      <c r="K21" t="s">
        <v>377</v>
      </c>
      <c r="L21">
        <v>1368</v>
      </c>
      <c r="N21">
        <v>91022270</v>
      </c>
      <c r="O21" t="s">
        <v>331</v>
      </c>
      <c r="P21" t="s">
        <v>331</v>
      </c>
      <c r="Q21">
        <v>1</v>
      </c>
      <c r="W21">
        <v>0</v>
      </c>
      <c r="X21">
        <v>-639151189</v>
      </c>
      <c r="Y21">
        <v>22.824999999999999</v>
      </c>
      <c r="AA21">
        <v>0</v>
      </c>
      <c r="AB21">
        <v>938.63</v>
      </c>
      <c r="AC21">
        <v>333.72</v>
      </c>
      <c r="AD21">
        <v>0</v>
      </c>
      <c r="AE21">
        <v>0</v>
      </c>
      <c r="AF21">
        <v>120.03</v>
      </c>
      <c r="AG21">
        <v>13.5</v>
      </c>
      <c r="AH21">
        <v>0</v>
      </c>
      <c r="AI21">
        <v>1</v>
      </c>
      <c r="AJ21">
        <v>7.82</v>
      </c>
      <c r="AK21">
        <v>24.72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18.260000000000002</v>
      </c>
      <c r="AU21" t="s">
        <v>63</v>
      </c>
      <c r="AV21">
        <v>0</v>
      </c>
      <c r="AW21">
        <v>2</v>
      </c>
      <c r="AX21">
        <v>502571826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3.6520000000000001</v>
      </c>
      <c r="CY21">
        <f>AB21</f>
        <v>938.63</v>
      </c>
      <c r="CZ21">
        <f>AF21</f>
        <v>120.03</v>
      </c>
      <c r="DA21">
        <f>AJ21</f>
        <v>7.82</v>
      </c>
      <c r="DB21">
        <v>0</v>
      </c>
    </row>
    <row r="22" spans="1:106" x14ac:dyDescent="0.35">
      <c r="A22">
        <f>ROW(Source!A31)</f>
        <v>31</v>
      </c>
      <c r="B22">
        <v>502564877</v>
      </c>
      <c r="C22">
        <v>502571822</v>
      </c>
      <c r="D22">
        <v>338039342</v>
      </c>
      <c r="E22">
        <v>1</v>
      </c>
      <c r="F22">
        <v>1</v>
      </c>
      <c r="G22">
        <v>1</v>
      </c>
      <c r="H22">
        <v>2</v>
      </c>
      <c r="I22" t="s">
        <v>355</v>
      </c>
      <c r="J22" t="s">
        <v>356</v>
      </c>
      <c r="K22" t="s">
        <v>357</v>
      </c>
      <c r="L22">
        <v>1368</v>
      </c>
      <c r="N22">
        <v>91022270</v>
      </c>
      <c r="O22" t="s">
        <v>331</v>
      </c>
      <c r="P22" t="s">
        <v>331</v>
      </c>
      <c r="Q22">
        <v>1</v>
      </c>
      <c r="W22">
        <v>0</v>
      </c>
      <c r="X22">
        <v>1230759911</v>
      </c>
      <c r="Y22">
        <v>7.9749999999999996</v>
      </c>
      <c r="AA22">
        <v>0</v>
      </c>
      <c r="AB22">
        <v>785.4</v>
      </c>
      <c r="AC22">
        <v>286.75</v>
      </c>
      <c r="AD22">
        <v>0</v>
      </c>
      <c r="AE22">
        <v>0</v>
      </c>
      <c r="AF22">
        <v>87.17</v>
      </c>
      <c r="AG22">
        <v>11.6</v>
      </c>
      <c r="AH22">
        <v>0</v>
      </c>
      <c r="AI22">
        <v>1</v>
      </c>
      <c r="AJ22">
        <v>9.01</v>
      </c>
      <c r="AK22">
        <v>24.72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6.38</v>
      </c>
      <c r="AU22" t="s">
        <v>63</v>
      </c>
      <c r="AV22">
        <v>0</v>
      </c>
      <c r="AW22">
        <v>2</v>
      </c>
      <c r="AX22">
        <v>502571827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1.276</v>
      </c>
      <c r="CY22">
        <f>AB22</f>
        <v>785.4</v>
      </c>
      <c r="CZ22">
        <f>AF22</f>
        <v>87.17</v>
      </c>
      <c r="DA22">
        <f>AJ22</f>
        <v>9.01</v>
      </c>
      <c r="DB22">
        <v>0</v>
      </c>
    </row>
    <row r="23" spans="1:106" x14ac:dyDescent="0.35">
      <c r="A23">
        <f>ROW(Source!A31)</f>
        <v>31</v>
      </c>
      <c r="B23">
        <v>502564877</v>
      </c>
      <c r="C23">
        <v>502571822</v>
      </c>
      <c r="D23">
        <v>337978662</v>
      </c>
      <c r="E23">
        <v>1</v>
      </c>
      <c r="F23">
        <v>1</v>
      </c>
      <c r="G23">
        <v>1</v>
      </c>
      <c r="H23">
        <v>3</v>
      </c>
      <c r="I23" t="s">
        <v>378</v>
      </c>
      <c r="J23" t="s">
        <v>379</v>
      </c>
      <c r="K23" t="s">
        <v>380</v>
      </c>
      <c r="L23">
        <v>1348</v>
      </c>
      <c r="N23">
        <v>39568864</v>
      </c>
      <c r="O23" t="s">
        <v>381</v>
      </c>
      <c r="P23" t="s">
        <v>381</v>
      </c>
      <c r="Q23">
        <v>1000</v>
      </c>
      <c r="W23">
        <v>0</v>
      </c>
      <c r="X23">
        <v>969423507</v>
      </c>
      <c r="Y23">
        <v>0.64</v>
      </c>
      <c r="AA23">
        <v>76116.88</v>
      </c>
      <c r="AB23">
        <v>0</v>
      </c>
      <c r="AC23">
        <v>0</v>
      </c>
      <c r="AD23">
        <v>0</v>
      </c>
      <c r="AE23">
        <v>9040.01</v>
      </c>
      <c r="AF23">
        <v>0</v>
      </c>
      <c r="AG23">
        <v>0</v>
      </c>
      <c r="AH23">
        <v>0</v>
      </c>
      <c r="AI23">
        <v>8.42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0.64</v>
      </c>
      <c r="AV23">
        <v>0</v>
      </c>
      <c r="AW23">
        <v>2</v>
      </c>
      <c r="AX23">
        <v>502571828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0.1024</v>
      </c>
      <c r="CY23">
        <f>AA23</f>
        <v>76116.88</v>
      </c>
      <c r="CZ23">
        <f>AE23</f>
        <v>9040.01</v>
      </c>
      <c r="DA23">
        <f>AI23</f>
        <v>8.42</v>
      </c>
      <c r="DB23">
        <v>0</v>
      </c>
    </row>
    <row r="24" spans="1:106" x14ac:dyDescent="0.35">
      <c r="A24">
        <f>ROW(Source!A31)</f>
        <v>31</v>
      </c>
      <c r="B24">
        <v>502564877</v>
      </c>
      <c r="C24">
        <v>502571822</v>
      </c>
      <c r="D24">
        <v>337993717</v>
      </c>
      <c r="E24">
        <v>1</v>
      </c>
      <c r="F24">
        <v>1</v>
      </c>
      <c r="G24">
        <v>1</v>
      </c>
      <c r="H24">
        <v>3</v>
      </c>
      <c r="I24" t="s">
        <v>382</v>
      </c>
      <c r="J24" t="s">
        <v>383</v>
      </c>
      <c r="K24" t="s">
        <v>384</v>
      </c>
      <c r="L24">
        <v>1348</v>
      </c>
      <c r="N24">
        <v>39568864</v>
      </c>
      <c r="O24" t="s">
        <v>381</v>
      </c>
      <c r="P24" t="s">
        <v>381</v>
      </c>
      <c r="Q24">
        <v>1000</v>
      </c>
      <c r="W24">
        <v>0</v>
      </c>
      <c r="X24">
        <v>59312312</v>
      </c>
      <c r="Y24">
        <v>0.186</v>
      </c>
      <c r="AA24">
        <v>51229.5</v>
      </c>
      <c r="AB24">
        <v>0</v>
      </c>
      <c r="AC24">
        <v>0</v>
      </c>
      <c r="AD24">
        <v>0</v>
      </c>
      <c r="AE24">
        <v>10045</v>
      </c>
      <c r="AF24">
        <v>0</v>
      </c>
      <c r="AG24">
        <v>0</v>
      </c>
      <c r="AH24">
        <v>0</v>
      </c>
      <c r="AI24">
        <v>5.0999999999999996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0.186</v>
      </c>
      <c r="AV24">
        <v>0</v>
      </c>
      <c r="AW24">
        <v>2</v>
      </c>
      <c r="AX24">
        <v>502571829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2.9760000000000002E-2</v>
      </c>
      <c r="CY24">
        <f>AA24</f>
        <v>51229.5</v>
      </c>
      <c r="CZ24">
        <f>AE24</f>
        <v>10045</v>
      </c>
      <c r="DA24">
        <f>AI24</f>
        <v>5.0999999999999996</v>
      </c>
      <c r="DB24">
        <v>0</v>
      </c>
    </row>
    <row r="25" spans="1:106" x14ac:dyDescent="0.35">
      <c r="A25">
        <f>ROW(Source!A31)</f>
        <v>31</v>
      </c>
      <c r="B25">
        <v>502564877</v>
      </c>
      <c r="C25">
        <v>502571822</v>
      </c>
      <c r="D25">
        <v>338009491</v>
      </c>
      <c r="E25">
        <v>1</v>
      </c>
      <c r="F25">
        <v>1</v>
      </c>
      <c r="G25">
        <v>1</v>
      </c>
      <c r="H25">
        <v>3</v>
      </c>
      <c r="I25" t="s">
        <v>385</v>
      </c>
      <c r="J25" t="s">
        <v>386</v>
      </c>
      <c r="K25" t="s">
        <v>387</v>
      </c>
      <c r="L25">
        <v>1339</v>
      </c>
      <c r="N25">
        <v>1007</v>
      </c>
      <c r="O25" t="s">
        <v>112</v>
      </c>
      <c r="P25" t="s">
        <v>112</v>
      </c>
      <c r="Q25">
        <v>1</v>
      </c>
      <c r="W25">
        <v>0</v>
      </c>
      <c r="X25">
        <v>-912066443</v>
      </c>
      <c r="Y25">
        <v>1.01</v>
      </c>
      <c r="AA25">
        <v>3759.32</v>
      </c>
      <c r="AB25">
        <v>0</v>
      </c>
      <c r="AC25">
        <v>0</v>
      </c>
      <c r="AD25">
        <v>0</v>
      </c>
      <c r="AE25">
        <v>738.57</v>
      </c>
      <c r="AF25">
        <v>0</v>
      </c>
      <c r="AG25">
        <v>0</v>
      </c>
      <c r="AH25">
        <v>0</v>
      </c>
      <c r="AI25">
        <v>5.09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1.01</v>
      </c>
      <c r="AV25">
        <v>0</v>
      </c>
      <c r="AW25">
        <v>2</v>
      </c>
      <c r="AX25">
        <v>502571830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0.16159999999999999</v>
      </c>
      <c r="CY25">
        <f>AA25</f>
        <v>3759.32</v>
      </c>
      <c r="CZ25">
        <f>AE25</f>
        <v>738.57</v>
      </c>
      <c r="DA25">
        <f>AI25</f>
        <v>5.09</v>
      </c>
      <c r="DB25">
        <v>0</v>
      </c>
    </row>
    <row r="26" spans="1:106" x14ac:dyDescent="0.35">
      <c r="A26">
        <f>ROW(Source!A31)</f>
        <v>31</v>
      </c>
      <c r="B26">
        <v>502564877</v>
      </c>
      <c r="C26">
        <v>502571822</v>
      </c>
      <c r="D26">
        <v>338011378</v>
      </c>
      <c r="E26">
        <v>1</v>
      </c>
      <c r="F26">
        <v>1</v>
      </c>
      <c r="G26">
        <v>1</v>
      </c>
      <c r="H26">
        <v>3</v>
      </c>
      <c r="I26" t="s">
        <v>95</v>
      </c>
      <c r="J26" t="s">
        <v>98</v>
      </c>
      <c r="K26" t="s">
        <v>96</v>
      </c>
      <c r="L26">
        <v>195242642</v>
      </c>
      <c r="N26">
        <v>1010</v>
      </c>
      <c r="O26" t="s">
        <v>97</v>
      </c>
      <c r="P26" t="s">
        <v>97</v>
      </c>
      <c r="Q26">
        <v>1</v>
      </c>
      <c r="W26">
        <v>0</v>
      </c>
      <c r="X26">
        <v>-1902898408</v>
      </c>
      <c r="Y26">
        <v>100</v>
      </c>
      <c r="AA26">
        <v>7483.41</v>
      </c>
      <c r="AB26">
        <v>0</v>
      </c>
      <c r="AC26">
        <v>0</v>
      </c>
      <c r="AD26">
        <v>0</v>
      </c>
      <c r="AE26">
        <v>1358.15</v>
      </c>
      <c r="AF26">
        <v>0</v>
      </c>
      <c r="AG26">
        <v>0</v>
      </c>
      <c r="AH26">
        <v>0</v>
      </c>
      <c r="AI26">
        <v>5.51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100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16</v>
      </c>
      <c r="CY26">
        <f>AA26</f>
        <v>7483.41</v>
      </c>
      <c r="CZ26">
        <f>AE26</f>
        <v>1358.15</v>
      </c>
      <c r="DA26">
        <f>AI26</f>
        <v>5.51</v>
      </c>
      <c r="DB26">
        <v>0</v>
      </c>
    </row>
    <row r="27" spans="1:106" x14ac:dyDescent="0.35">
      <c r="A27">
        <f>ROW(Source!A33)</f>
        <v>33</v>
      </c>
      <c r="B27">
        <v>502564877</v>
      </c>
      <c r="C27">
        <v>502572088</v>
      </c>
      <c r="D27">
        <v>37776094</v>
      </c>
      <c r="E27">
        <v>1</v>
      </c>
      <c r="F27">
        <v>1</v>
      </c>
      <c r="G27">
        <v>1</v>
      </c>
      <c r="H27">
        <v>1</v>
      </c>
      <c r="I27" t="s">
        <v>341</v>
      </c>
      <c r="K27" t="s">
        <v>342</v>
      </c>
      <c r="L27">
        <v>1369</v>
      </c>
      <c r="N27">
        <v>1013</v>
      </c>
      <c r="O27" t="s">
        <v>325</v>
      </c>
      <c r="P27" t="s">
        <v>325</v>
      </c>
      <c r="Q27">
        <v>1</v>
      </c>
      <c r="W27">
        <v>0</v>
      </c>
      <c r="X27">
        <v>1415306217</v>
      </c>
      <c r="Y27">
        <v>179.8</v>
      </c>
      <c r="AA27">
        <v>0</v>
      </c>
      <c r="AB27">
        <v>0</v>
      </c>
      <c r="AC27">
        <v>0</v>
      </c>
      <c r="AD27">
        <v>8.31</v>
      </c>
      <c r="AE27">
        <v>0</v>
      </c>
      <c r="AF27">
        <v>0</v>
      </c>
      <c r="AG27">
        <v>0</v>
      </c>
      <c r="AH27">
        <v>8.31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179.8</v>
      </c>
      <c r="AV27">
        <v>1</v>
      </c>
      <c r="AW27">
        <v>2</v>
      </c>
      <c r="AX27">
        <v>502573198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13.970460000000001</v>
      </c>
      <c r="CY27">
        <f>AD27</f>
        <v>8.31</v>
      </c>
      <c r="CZ27">
        <f>AH27</f>
        <v>8.31</v>
      </c>
      <c r="DA27">
        <f>AL27</f>
        <v>1</v>
      </c>
      <c r="DB27">
        <v>0</v>
      </c>
    </row>
    <row r="28" spans="1:106" x14ac:dyDescent="0.35">
      <c r="A28">
        <f>ROW(Source!A33)</f>
        <v>33</v>
      </c>
      <c r="B28">
        <v>502564877</v>
      </c>
      <c r="C28">
        <v>502572088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72</v>
      </c>
      <c r="K28" t="s">
        <v>326</v>
      </c>
      <c r="L28">
        <v>608254</v>
      </c>
      <c r="N28">
        <v>1013</v>
      </c>
      <c r="O28" t="s">
        <v>327</v>
      </c>
      <c r="P28" t="s">
        <v>327</v>
      </c>
      <c r="Q28">
        <v>1</v>
      </c>
      <c r="W28">
        <v>0</v>
      </c>
      <c r="X28">
        <v>-185737400</v>
      </c>
      <c r="Y28">
        <v>45.63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45.63</v>
      </c>
      <c r="AV28">
        <v>2</v>
      </c>
      <c r="AW28">
        <v>2</v>
      </c>
      <c r="AX28">
        <v>502573199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3.5454510000000004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35">
      <c r="A29">
        <f>ROW(Source!A33)</f>
        <v>33</v>
      </c>
      <c r="B29">
        <v>502564877</v>
      </c>
      <c r="C29">
        <v>502572088</v>
      </c>
      <c r="D29">
        <v>338037139</v>
      </c>
      <c r="E29">
        <v>1</v>
      </c>
      <c r="F29">
        <v>1</v>
      </c>
      <c r="G29">
        <v>1</v>
      </c>
      <c r="H29">
        <v>2</v>
      </c>
      <c r="I29" t="s">
        <v>388</v>
      </c>
      <c r="J29" t="s">
        <v>389</v>
      </c>
      <c r="K29" t="s">
        <v>390</v>
      </c>
      <c r="L29">
        <v>1368</v>
      </c>
      <c r="N29">
        <v>91022270</v>
      </c>
      <c r="O29" t="s">
        <v>331</v>
      </c>
      <c r="P29" t="s">
        <v>331</v>
      </c>
      <c r="Q29">
        <v>1</v>
      </c>
      <c r="W29">
        <v>0</v>
      </c>
      <c r="X29">
        <v>315863809</v>
      </c>
      <c r="Y29">
        <v>44.08</v>
      </c>
      <c r="AA29">
        <v>0</v>
      </c>
      <c r="AB29">
        <v>629.03</v>
      </c>
      <c r="AC29">
        <v>248.68</v>
      </c>
      <c r="AD29">
        <v>0</v>
      </c>
      <c r="AE29">
        <v>0</v>
      </c>
      <c r="AF29">
        <v>46.56</v>
      </c>
      <c r="AG29">
        <v>10.06</v>
      </c>
      <c r="AH29">
        <v>0</v>
      </c>
      <c r="AI29">
        <v>1</v>
      </c>
      <c r="AJ29">
        <v>13.51</v>
      </c>
      <c r="AK29">
        <v>24.72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44.08</v>
      </c>
      <c r="AV29">
        <v>0</v>
      </c>
      <c r="AW29">
        <v>2</v>
      </c>
      <c r="AX29">
        <v>502573200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3.4250160000000003</v>
      </c>
      <c r="CY29">
        <f>AB29</f>
        <v>629.03</v>
      </c>
      <c r="CZ29">
        <f>AF29</f>
        <v>46.56</v>
      </c>
      <c r="DA29">
        <f>AJ29</f>
        <v>13.51</v>
      </c>
      <c r="DB29">
        <v>0</v>
      </c>
    </row>
    <row r="30" spans="1:106" x14ac:dyDescent="0.35">
      <c r="A30">
        <f>ROW(Source!A33)</f>
        <v>33</v>
      </c>
      <c r="B30">
        <v>502564877</v>
      </c>
      <c r="C30">
        <v>502572088</v>
      </c>
      <c r="D30">
        <v>338037611</v>
      </c>
      <c r="E30">
        <v>1</v>
      </c>
      <c r="F30">
        <v>1</v>
      </c>
      <c r="G30">
        <v>1</v>
      </c>
      <c r="H30">
        <v>2</v>
      </c>
      <c r="I30" t="s">
        <v>349</v>
      </c>
      <c r="J30" t="s">
        <v>350</v>
      </c>
      <c r="K30" t="s">
        <v>351</v>
      </c>
      <c r="L30">
        <v>1368</v>
      </c>
      <c r="N30">
        <v>91022270</v>
      </c>
      <c r="O30" t="s">
        <v>331</v>
      </c>
      <c r="P30" t="s">
        <v>331</v>
      </c>
      <c r="Q30">
        <v>1</v>
      </c>
      <c r="W30">
        <v>0</v>
      </c>
      <c r="X30">
        <v>-1754144589</v>
      </c>
      <c r="Y30">
        <v>1.55</v>
      </c>
      <c r="AA30">
        <v>0</v>
      </c>
      <c r="AB30">
        <v>867.15</v>
      </c>
      <c r="AC30">
        <v>333.72</v>
      </c>
      <c r="AD30">
        <v>0</v>
      </c>
      <c r="AE30">
        <v>0</v>
      </c>
      <c r="AF30">
        <v>123</v>
      </c>
      <c r="AG30">
        <v>13.5</v>
      </c>
      <c r="AH30">
        <v>0</v>
      </c>
      <c r="AI30">
        <v>1</v>
      </c>
      <c r="AJ30">
        <v>7.05</v>
      </c>
      <c r="AK30">
        <v>24.72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1.55</v>
      </c>
      <c r="AV30">
        <v>0</v>
      </c>
      <c r="AW30">
        <v>2</v>
      </c>
      <c r="AX30">
        <v>502573201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0.12043500000000001</v>
      </c>
      <c r="CY30">
        <f>AB30</f>
        <v>867.15</v>
      </c>
      <c r="CZ30">
        <f>AF30</f>
        <v>123</v>
      </c>
      <c r="DA30">
        <f>AJ30</f>
        <v>7.05</v>
      </c>
      <c r="DB30">
        <v>0</v>
      </c>
    </row>
    <row r="31" spans="1:106" x14ac:dyDescent="0.35">
      <c r="A31">
        <f>ROW(Source!A33)</f>
        <v>33</v>
      </c>
      <c r="B31">
        <v>502564877</v>
      </c>
      <c r="C31">
        <v>502572088</v>
      </c>
      <c r="D31">
        <v>338038962</v>
      </c>
      <c r="E31">
        <v>1</v>
      </c>
      <c r="F31">
        <v>1</v>
      </c>
      <c r="G31">
        <v>1</v>
      </c>
      <c r="H31">
        <v>2</v>
      </c>
      <c r="I31" t="s">
        <v>391</v>
      </c>
      <c r="J31" t="s">
        <v>392</v>
      </c>
      <c r="K31" t="s">
        <v>393</v>
      </c>
      <c r="L31">
        <v>1368</v>
      </c>
      <c r="N31">
        <v>91022270</v>
      </c>
      <c r="O31" t="s">
        <v>331</v>
      </c>
      <c r="P31" t="s">
        <v>331</v>
      </c>
      <c r="Q31">
        <v>1</v>
      </c>
      <c r="W31">
        <v>0</v>
      </c>
      <c r="X31">
        <v>-2071518695</v>
      </c>
      <c r="Y31">
        <v>88.16</v>
      </c>
      <c r="AA31">
        <v>0</v>
      </c>
      <c r="AB31">
        <v>5.0599999999999996</v>
      </c>
      <c r="AC31">
        <v>0</v>
      </c>
      <c r="AD31">
        <v>0</v>
      </c>
      <c r="AE31">
        <v>0</v>
      </c>
      <c r="AF31">
        <v>1.53</v>
      </c>
      <c r="AG31">
        <v>0</v>
      </c>
      <c r="AH31">
        <v>0</v>
      </c>
      <c r="AI31">
        <v>1</v>
      </c>
      <c r="AJ31">
        <v>3.31</v>
      </c>
      <c r="AK31">
        <v>24.72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88.16</v>
      </c>
      <c r="AV31">
        <v>0</v>
      </c>
      <c r="AW31">
        <v>2</v>
      </c>
      <c r="AX31">
        <v>502573202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6.8500320000000006</v>
      </c>
      <c r="CY31">
        <f>AB31</f>
        <v>5.0599999999999996</v>
      </c>
      <c r="CZ31">
        <f>AF31</f>
        <v>1.53</v>
      </c>
      <c r="DA31">
        <f>AJ31</f>
        <v>3.31</v>
      </c>
      <c r="DB31">
        <v>0</v>
      </c>
    </row>
    <row r="32" spans="1:106" x14ac:dyDescent="0.35">
      <c r="A32">
        <f>ROW(Source!A34)</f>
        <v>34</v>
      </c>
      <c r="B32">
        <v>502564877</v>
      </c>
      <c r="C32">
        <v>502572323</v>
      </c>
      <c r="D32">
        <v>37773610</v>
      </c>
      <c r="E32">
        <v>1</v>
      </c>
      <c r="F32">
        <v>1</v>
      </c>
      <c r="G32">
        <v>1</v>
      </c>
      <c r="H32">
        <v>1</v>
      </c>
      <c r="I32" t="s">
        <v>394</v>
      </c>
      <c r="K32" t="s">
        <v>395</v>
      </c>
      <c r="L32">
        <v>1369</v>
      </c>
      <c r="N32">
        <v>1013</v>
      </c>
      <c r="O32" t="s">
        <v>325</v>
      </c>
      <c r="P32" t="s">
        <v>325</v>
      </c>
      <c r="Q32">
        <v>1</v>
      </c>
      <c r="W32">
        <v>0</v>
      </c>
      <c r="X32">
        <v>-886480961</v>
      </c>
      <c r="Y32">
        <v>18.077999999999999</v>
      </c>
      <c r="AA32">
        <v>0</v>
      </c>
      <c r="AB32">
        <v>0</v>
      </c>
      <c r="AC32">
        <v>0</v>
      </c>
      <c r="AD32">
        <v>8.02</v>
      </c>
      <c r="AE32">
        <v>0</v>
      </c>
      <c r="AF32">
        <v>0</v>
      </c>
      <c r="AG32">
        <v>0</v>
      </c>
      <c r="AH32">
        <v>8.02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15.72</v>
      </c>
      <c r="AU32" t="s">
        <v>64</v>
      </c>
      <c r="AV32">
        <v>1</v>
      </c>
      <c r="AW32">
        <v>2</v>
      </c>
      <c r="AX32">
        <v>502572324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8.0266319999999993</v>
      </c>
      <c r="CY32">
        <f>AD32</f>
        <v>8.02</v>
      </c>
      <c r="CZ32">
        <f>AH32</f>
        <v>8.02</v>
      </c>
      <c r="DA32">
        <f>AL32</f>
        <v>1</v>
      </c>
      <c r="DB32">
        <v>0</v>
      </c>
    </row>
    <row r="33" spans="1:106" x14ac:dyDescent="0.35">
      <c r="A33">
        <f>ROW(Source!A34)</f>
        <v>34</v>
      </c>
      <c r="B33">
        <v>502564877</v>
      </c>
      <c r="C33">
        <v>502572323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72</v>
      </c>
      <c r="K33" t="s">
        <v>326</v>
      </c>
      <c r="L33">
        <v>608254</v>
      </c>
      <c r="N33">
        <v>1013</v>
      </c>
      <c r="O33" t="s">
        <v>327</v>
      </c>
      <c r="P33" t="s">
        <v>327</v>
      </c>
      <c r="Q33">
        <v>1</v>
      </c>
      <c r="W33">
        <v>0</v>
      </c>
      <c r="X33">
        <v>-185737400</v>
      </c>
      <c r="Y33">
        <v>17.350000000000001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13.88</v>
      </c>
      <c r="AU33" t="s">
        <v>63</v>
      </c>
      <c r="AV33">
        <v>2</v>
      </c>
      <c r="AW33">
        <v>2</v>
      </c>
      <c r="AX33">
        <v>502572325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7.7034000000000011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x14ac:dyDescent="0.35">
      <c r="A34">
        <f>ROW(Source!A34)</f>
        <v>34</v>
      </c>
      <c r="B34">
        <v>502564877</v>
      </c>
      <c r="C34">
        <v>502572323</v>
      </c>
      <c r="D34">
        <v>338036908</v>
      </c>
      <c r="E34">
        <v>1</v>
      </c>
      <c r="F34">
        <v>1</v>
      </c>
      <c r="G34">
        <v>1</v>
      </c>
      <c r="H34">
        <v>2</v>
      </c>
      <c r="I34" t="s">
        <v>343</v>
      </c>
      <c r="J34" t="s">
        <v>344</v>
      </c>
      <c r="K34" t="s">
        <v>345</v>
      </c>
      <c r="L34">
        <v>1368</v>
      </c>
      <c r="N34">
        <v>91022270</v>
      </c>
      <c r="O34" t="s">
        <v>331</v>
      </c>
      <c r="P34" t="s">
        <v>331</v>
      </c>
      <c r="Q34">
        <v>1</v>
      </c>
      <c r="W34">
        <v>0</v>
      </c>
      <c r="X34">
        <v>1549832887</v>
      </c>
      <c r="Y34">
        <v>5.3624999999999998</v>
      </c>
      <c r="AA34">
        <v>0</v>
      </c>
      <c r="AB34">
        <v>681.25</v>
      </c>
      <c r="AC34">
        <v>248.68</v>
      </c>
      <c r="AD34">
        <v>0</v>
      </c>
      <c r="AE34">
        <v>0</v>
      </c>
      <c r="AF34">
        <v>99.89</v>
      </c>
      <c r="AG34">
        <v>10.06</v>
      </c>
      <c r="AH34">
        <v>0</v>
      </c>
      <c r="AI34">
        <v>1</v>
      </c>
      <c r="AJ34">
        <v>6.82</v>
      </c>
      <c r="AK34">
        <v>24.72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4.29</v>
      </c>
      <c r="AU34" t="s">
        <v>63</v>
      </c>
      <c r="AV34">
        <v>0</v>
      </c>
      <c r="AW34">
        <v>2</v>
      </c>
      <c r="AX34">
        <v>502572326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2.3809499999999999</v>
      </c>
      <c r="CY34">
        <f>AB34</f>
        <v>681.25</v>
      </c>
      <c r="CZ34">
        <f>AF34</f>
        <v>99.89</v>
      </c>
      <c r="DA34">
        <f>AJ34</f>
        <v>6.82</v>
      </c>
      <c r="DB34">
        <v>0</v>
      </c>
    </row>
    <row r="35" spans="1:106" x14ac:dyDescent="0.35">
      <c r="A35">
        <f>ROW(Source!A34)</f>
        <v>34</v>
      </c>
      <c r="B35">
        <v>502564877</v>
      </c>
      <c r="C35">
        <v>502572323</v>
      </c>
      <c r="D35">
        <v>338037611</v>
      </c>
      <c r="E35">
        <v>1</v>
      </c>
      <c r="F35">
        <v>1</v>
      </c>
      <c r="G35">
        <v>1</v>
      </c>
      <c r="H35">
        <v>2</v>
      </c>
      <c r="I35" t="s">
        <v>349</v>
      </c>
      <c r="J35" t="s">
        <v>350</v>
      </c>
      <c r="K35" t="s">
        <v>351</v>
      </c>
      <c r="L35">
        <v>1368</v>
      </c>
      <c r="N35">
        <v>91022270</v>
      </c>
      <c r="O35" t="s">
        <v>331</v>
      </c>
      <c r="P35" t="s">
        <v>331</v>
      </c>
      <c r="Q35">
        <v>1</v>
      </c>
      <c r="W35">
        <v>0</v>
      </c>
      <c r="X35">
        <v>-1754144589</v>
      </c>
      <c r="Y35">
        <v>2.2124999999999999</v>
      </c>
      <c r="AA35">
        <v>0</v>
      </c>
      <c r="AB35">
        <v>867.15</v>
      </c>
      <c r="AC35">
        <v>333.72</v>
      </c>
      <c r="AD35">
        <v>0</v>
      </c>
      <c r="AE35">
        <v>0</v>
      </c>
      <c r="AF35">
        <v>123</v>
      </c>
      <c r="AG35">
        <v>13.5</v>
      </c>
      <c r="AH35">
        <v>0</v>
      </c>
      <c r="AI35">
        <v>1</v>
      </c>
      <c r="AJ35">
        <v>7.05</v>
      </c>
      <c r="AK35">
        <v>24.72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1.77</v>
      </c>
      <c r="AU35" t="s">
        <v>63</v>
      </c>
      <c r="AV35">
        <v>0</v>
      </c>
      <c r="AW35">
        <v>2</v>
      </c>
      <c r="AX35">
        <v>502572327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0.98234999999999995</v>
      </c>
      <c r="CY35">
        <f>AB35</f>
        <v>867.15</v>
      </c>
      <c r="CZ35">
        <f>AF35</f>
        <v>123</v>
      </c>
      <c r="DA35">
        <f>AJ35</f>
        <v>7.05</v>
      </c>
      <c r="DB35">
        <v>0</v>
      </c>
    </row>
    <row r="36" spans="1:106" x14ac:dyDescent="0.35">
      <c r="A36">
        <f>ROW(Source!A34)</f>
        <v>34</v>
      </c>
      <c r="B36">
        <v>502564877</v>
      </c>
      <c r="C36">
        <v>502572323</v>
      </c>
      <c r="D36">
        <v>338037661</v>
      </c>
      <c r="E36">
        <v>1</v>
      </c>
      <c r="F36">
        <v>1</v>
      </c>
      <c r="G36">
        <v>1</v>
      </c>
      <c r="H36">
        <v>2</v>
      </c>
      <c r="I36" t="s">
        <v>396</v>
      </c>
      <c r="J36" t="s">
        <v>397</v>
      </c>
      <c r="K36" t="s">
        <v>398</v>
      </c>
      <c r="L36">
        <v>1368</v>
      </c>
      <c r="N36">
        <v>91022270</v>
      </c>
      <c r="O36" t="s">
        <v>331</v>
      </c>
      <c r="P36" t="s">
        <v>331</v>
      </c>
      <c r="Q36">
        <v>1</v>
      </c>
      <c r="W36">
        <v>0</v>
      </c>
      <c r="X36">
        <v>1606831026</v>
      </c>
      <c r="Y36">
        <v>8.85</v>
      </c>
      <c r="AA36">
        <v>0</v>
      </c>
      <c r="AB36">
        <v>1013.57</v>
      </c>
      <c r="AC36">
        <v>355.97</v>
      </c>
      <c r="AD36">
        <v>0</v>
      </c>
      <c r="AE36">
        <v>0</v>
      </c>
      <c r="AF36">
        <v>206.01</v>
      </c>
      <c r="AG36">
        <v>14.4</v>
      </c>
      <c r="AH36">
        <v>0</v>
      </c>
      <c r="AI36">
        <v>1</v>
      </c>
      <c r="AJ36">
        <v>4.92</v>
      </c>
      <c r="AK36">
        <v>24.72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7.08</v>
      </c>
      <c r="AU36" t="s">
        <v>63</v>
      </c>
      <c r="AV36">
        <v>0</v>
      </c>
      <c r="AW36">
        <v>2</v>
      </c>
      <c r="AX36">
        <v>502572328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3.9293999999999998</v>
      </c>
      <c r="CY36">
        <f>AB36</f>
        <v>1013.57</v>
      </c>
      <c r="CZ36">
        <f>AF36</f>
        <v>206.01</v>
      </c>
      <c r="DA36">
        <f>AJ36</f>
        <v>4.92</v>
      </c>
      <c r="DB36">
        <v>0</v>
      </c>
    </row>
    <row r="37" spans="1:106" x14ac:dyDescent="0.35">
      <c r="A37">
        <f>ROW(Source!A34)</f>
        <v>34</v>
      </c>
      <c r="B37">
        <v>502564877</v>
      </c>
      <c r="C37">
        <v>502572323</v>
      </c>
      <c r="D37">
        <v>338037719</v>
      </c>
      <c r="E37">
        <v>1</v>
      </c>
      <c r="F37">
        <v>1</v>
      </c>
      <c r="G37">
        <v>1</v>
      </c>
      <c r="H37">
        <v>2</v>
      </c>
      <c r="I37" t="s">
        <v>399</v>
      </c>
      <c r="J37" t="s">
        <v>400</v>
      </c>
      <c r="K37" t="s">
        <v>401</v>
      </c>
      <c r="L37">
        <v>1368</v>
      </c>
      <c r="N37">
        <v>91022270</v>
      </c>
      <c r="O37" t="s">
        <v>331</v>
      </c>
      <c r="P37" t="s">
        <v>331</v>
      </c>
      <c r="Q37">
        <v>1</v>
      </c>
      <c r="W37">
        <v>0</v>
      </c>
      <c r="X37">
        <v>-962845729</v>
      </c>
      <c r="Y37">
        <v>0.92500000000000004</v>
      </c>
      <c r="AA37">
        <v>0</v>
      </c>
      <c r="AB37">
        <v>686.4</v>
      </c>
      <c r="AC37">
        <v>286.75</v>
      </c>
      <c r="AD37">
        <v>0</v>
      </c>
      <c r="AE37">
        <v>0</v>
      </c>
      <c r="AF37">
        <v>110</v>
      </c>
      <c r="AG37">
        <v>11.6</v>
      </c>
      <c r="AH37">
        <v>0</v>
      </c>
      <c r="AI37">
        <v>1</v>
      </c>
      <c r="AJ37">
        <v>6.24</v>
      </c>
      <c r="AK37">
        <v>24.72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0.74</v>
      </c>
      <c r="AU37" t="s">
        <v>63</v>
      </c>
      <c r="AV37">
        <v>0</v>
      </c>
      <c r="AW37">
        <v>2</v>
      </c>
      <c r="AX37">
        <v>502572329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0.41070000000000001</v>
      </c>
      <c r="CY37">
        <f>AB37</f>
        <v>686.4</v>
      </c>
      <c r="CZ37">
        <f>AF37</f>
        <v>110</v>
      </c>
      <c r="DA37">
        <f>AJ37</f>
        <v>6.24</v>
      </c>
      <c r="DB37">
        <v>0</v>
      </c>
    </row>
    <row r="38" spans="1:106" x14ac:dyDescent="0.35">
      <c r="A38">
        <f>ROW(Source!A34)</f>
        <v>34</v>
      </c>
      <c r="B38">
        <v>502564877</v>
      </c>
      <c r="C38">
        <v>502572323</v>
      </c>
      <c r="D38">
        <v>338014037</v>
      </c>
      <c r="E38">
        <v>1</v>
      </c>
      <c r="F38">
        <v>1</v>
      </c>
      <c r="G38">
        <v>1</v>
      </c>
      <c r="H38">
        <v>3</v>
      </c>
      <c r="I38" t="s">
        <v>110</v>
      </c>
      <c r="J38" t="s">
        <v>113</v>
      </c>
      <c r="K38" t="s">
        <v>111</v>
      </c>
      <c r="L38">
        <v>1339</v>
      </c>
      <c r="N38">
        <v>1007</v>
      </c>
      <c r="O38" t="s">
        <v>112</v>
      </c>
      <c r="P38" t="s">
        <v>112</v>
      </c>
      <c r="Q38">
        <v>1</v>
      </c>
      <c r="W38">
        <v>0</v>
      </c>
      <c r="X38">
        <v>-1147251145</v>
      </c>
      <c r="Y38">
        <v>110</v>
      </c>
      <c r="AA38">
        <v>432.69</v>
      </c>
      <c r="AB38">
        <v>0</v>
      </c>
      <c r="AC38">
        <v>0</v>
      </c>
      <c r="AD38">
        <v>0</v>
      </c>
      <c r="AE38">
        <v>55.26</v>
      </c>
      <c r="AF38">
        <v>0</v>
      </c>
      <c r="AG38">
        <v>0</v>
      </c>
      <c r="AH38">
        <v>0</v>
      </c>
      <c r="AI38">
        <v>7.83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T38">
        <v>110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48.84</v>
      </c>
      <c r="CY38">
        <f>AA38</f>
        <v>432.69</v>
      </c>
      <c r="CZ38">
        <f>AE38</f>
        <v>55.26</v>
      </c>
      <c r="DA38">
        <f>AI38</f>
        <v>7.83</v>
      </c>
      <c r="DB38">
        <v>0</v>
      </c>
    </row>
    <row r="39" spans="1:106" x14ac:dyDescent="0.35">
      <c r="A39">
        <f>ROW(Source!A34)</f>
        <v>34</v>
      </c>
      <c r="B39">
        <v>502564877</v>
      </c>
      <c r="C39">
        <v>502572323</v>
      </c>
      <c r="D39">
        <v>338014469</v>
      </c>
      <c r="E39">
        <v>1</v>
      </c>
      <c r="F39">
        <v>1</v>
      </c>
      <c r="G39">
        <v>1</v>
      </c>
      <c r="H39">
        <v>3</v>
      </c>
      <c r="I39" t="s">
        <v>402</v>
      </c>
      <c r="J39" t="s">
        <v>403</v>
      </c>
      <c r="K39" t="s">
        <v>404</v>
      </c>
      <c r="L39">
        <v>1339</v>
      </c>
      <c r="N39">
        <v>1007</v>
      </c>
      <c r="O39" t="s">
        <v>112</v>
      </c>
      <c r="P39" t="s">
        <v>112</v>
      </c>
      <c r="Q39">
        <v>1</v>
      </c>
      <c r="W39">
        <v>0</v>
      </c>
      <c r="X39">
        <v>619799737</v>
      </c>
      <c r="Y39">
        <v>5</v>
      </c>
      <c r="AA39">
        <v>16.59</v>
      </c>
      <c r="AB39">
        <v>0</v>
      </c>
      <c r="AC39">
        <v>0</v>
      </c>
      <c r="AD39">
        <v>0</v>
      </c>
      <c r="AE39">
        <v>2.44</v>
      </c>
      <c r="AF39">
        <v>0</v>
      </c>
      <c r="AG39">
        <v>0</v>
      </c>
      <c r="AH39">
        <v>0</v>
      </c>
      <c r="AI39">
        <v>6.8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5</v>
      </c>
      <c r="AV39">
        <v>0</v>
      </c>
      <c r="AW39">
        <v>2</v>
      </c>
      <c r="AX39">
        <v>502572331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2.2200000000000002</v>
      </c>
      <c r="CY39">
        <f>AA39</f>
        <v>16.59</v>
      </c>
      <c r="CZ39">
        <f>AE39</f>
        <v>2.44</v>
      </c>
      <c r="DA39">
        <f>AI39</f>
        <v>6.8</v>
      </c>
      <c r="DB39">
        <v>0</v>
      </c>
    </row>
    <row r="40" spans="1:106" x14ac:dyDescent="0.35">
      <c r="A40">
        <f>ROW(Source!A36)</f>
        <v>36</v>
      </c>
      <c r="B40">
        <v>502564877</v>
      </c>
      <c r="C40">
        <v>502572333</v>
      </c>
      <c r="D40">
        <v>37775544</v>
      </c>
      <c r="E40">
        <v>1</v>
      </c>
      <c r="F40">
        <v>1</v>
      </c>
      <c r="G40">
        <v>1</v>
      </c>
      <c r="H40">
        <v>1</v>
      </c>
      <c r="I40" t="s">
        <v>405</v>
      </c>
      <c r="K40" t="s">
        <v>406</v>
      </c>
      <c r="L40">
        <v>1369</v>
      </c>
      <c r="N40">
        <v>1013</v>
      </c>
      <c r="O40" t="s">
        <v>325</v>
      </c>
      <c r="P40" t="s">
        <v>325</v>
      </c>
      <c r="Q40">
        <v>1</v>
      </c>
      <c r="W40">
        <v>0</v>
      </c>
      <c r="X40">
        <v>-932636904</v>
      </c>
      <c r="Y40">
        <v>27.8185</v>
      </c>
      <c r="AA40">
        <v>0</v>
      </c>
      <c r="AB40">
        <v>0</v>
      </c>
      <c r="AC40">
        <v>0</v>
      </c>
      <c r="AD40">
        <v>8.09</v>
      </c>
      <c r="AE40">
        <v>0</v>
      </c>
      <c r="AF40">
        <v>0</v>
      </c>
      <c r="AG40">
        <v>0</v>
      </c>
      <c r="AH40">
        <v>8.09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24.19</v>
      </c>
      <c r="AU40" t="s">
        <v>64</v>
      </c>
      <c r="AV40">
        <v>1</v>
      </c>
      <c r="AW40">
        <v>2</v>
      </c>
      <c r="AX40">
        <v>502572334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Y40*Source!I36</f>
        <v>9.2635605000000005</v>
      </c>
      <c r="CY40">
        <f>AD40</f>
        <v>8.09</v>
      </c>
      <c r="CZ40">
        <f>AH40</f>
        <v>8.09</v>
      </c>
      <c r="DA40">
        <f>AL40</f>
        <v>1</v>
      </c>
      <c r="DB40">
        <v>0</v>
      </c>
    </row>
    <row r="41" spans="1:106" x14ac:dyDescent="0.35">
      <c r="A41">
        <f>ROW(Source!A36)</f>
        <v>36</v>
      </c>
      <c r="B41">
        <v>502564877</v>
      </c>
      <c r="C41">
        <v>502572333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72</v>
      </c>
      <c r="K41" t="s">
        <v>326</v>
      </c>
      <c r="L41">
        <v>608254</v>
      </c>
      <c r="N41">
        <v>1013</v>
      </c>
      <c r="O41" t="s">
        <v>327</v>
      </c>
      <c r="P41" t="s">
        <v>327</v>
      </c>
      <c r="Q41">
        <v>1</v>
      </c>
      <c r="W41">
        <v>0</v>
      </c>
      <c r="X41">
        <v>-185737400</v>
      </c>
      <c r="Y41">
        <v>25.75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20.6</v>
      </c>
      <c r="AU41" t="s">
        <v>63</v>
      </c>
      <c r="AV41">
        <v>2</v>
      </c>
      <c r="AW41">
        <v>2</v>
      </c>
      <c r="AX41">
        <v>502572335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Y41*Source!I36</f>
        <v>8.5747499999999999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35">
      <c r="A42">
        <f>ROW(Source!A36)</f>
        <v>36</v>
      </c>
      <c r="B42">
        <v>502564877</v>
      </c>
      <c r="C42">
        <v>502572333</v>
      </c>
      <c r="D42">
        <v>338036908</v>
      </c>
      <c r="E42">
        <v>1</v>
      </c>
      <c r="F42">
        <v>1</v>
      </c>
      <c r="G42">
        <v>1</v>
      </c>
      <c r="H42">
        <v>2</v>
      </c>
      <c r="I42" t="s">
        <v>343</v>
      </c>
      <c r="J42" t="s">
        <v>344</v>
      </c>
      <c r="K42" t="s">
        <v>345</v>
      </c>
      <c r="L42">
        <v>1368</v>
      </c>
      <c r="N42">
        <v>91022270</v>
      </c>
      <c r="O42" t="s">
        <v>331</v>
      </c>
      <c r="P42" t="s">
        <v>331</v>
      </c>
      <c r="Q42">
        <v>1</v>
      </c>
      <c r="W42">
        <v>0</v>
      </c>
      <c r="X42">
        <v>1549832887</v>
      </c>
      <c r="Y42">
        <v>3.0750000000000002</v>
      </c>
      <c r="AA42">
        <v>0</v>
      </c>
      <c r="AB42">
        <v>681.25</v>
      </c>
      <c r="AC42">
        <v>248.68</v>
      </c>
      <c r="AD42">
        <v>0</v>
      </c>
      <c r="AE42">
        <v>0</v>
      </c>
      <c r="AF42">
        <v>99.89</v>
      </c>
      <c r="AG42">
        <v>10.06</v>
      </c>
      <c r="AH42">
        <v>0</v>
      </c>
      <c r="AI42">
        <v>1</v>
      </c>
      <c r="AJ42">
        <v>6.82</v>
      </c>
      <c r="AK42">
        <v>24.72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2.46</v>
      </c>
      <c r="AU42" t="s">
        <v>63</v>
      </c>
      <c r="AV42">
        <v>0</v>
      </c>
      <c r="AW42">
        <v>2</v>
      </c>
      <c r="AX42">
        <v>502572336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Y42*Source!I36</f>
        <v>1.0239750000000001</v>
      </c>
      <c r="CY42">
        <f>AB42</f>
        <v>681.25</v>
      </c>
      <c r="CZ42">
        <f>AF42</f>
        <v>99.89</v>
      </c>
      <c r="DA42">
        <f>AJ42</f>
        <v>6.82</v>
      </c>
      <c r="DB42">
        <v>0</v>
      </c>
    </row>
    <row r="43" spans="1:106" x14ac:dyDescent="0.35">
      <c r="A43">
        <f>ROW(Source!A36)</f>
        <v>36</v>
      </c>
      <c r="B43">
        <v>502564877</v>
      </c>
      <c r="C43">
        <v>502572333</v>
      </c>
      <c r="D43">
        <v>338037300</v>
      </c>
      <c r="E43">
        <v>1</v>
      </c>
      <c r="F43">
        <v>1</v>
      </c>
      <c r="G43">
        <v>1</v>
      </c>
      <c r="H43">
        <v>2</v>
      </c>
      <c r="I43" t="s">
        <v>332</v>
      </c>
      <c r="J43" t="s">
        <v>333</v>
      </c>
      <c r="K43" t="s">
        <v>334</v>
      </c>
      <c r="L43">
        <v>1368</v>
      </c>
      <c r="N43">
        <v>91022270</v>
      </c>
      <c r="O43" t="s">
        <v>331</v>
      </c>
      <c r="P43" t="s">
        <v>331</v>
      </c>
      <c r="Q43">
        <v>1</v>
      </c>
      <c r="W43">
        <v>0</v>
      </c>
      <c r="X43">
        <v>-229935220</v>
      </c>
      <c r="Y43">
        <v>3.2374999999999998</v>
      </c>
      <c r="AA43">
        <v>0</v>
      </c>
      <c r="AB43">
        <v>751.29</v>
      </c>
      <c r="AC43">
        <v>333.72</v>
      </c>
      <c r="AD43">
        <v>0</v>
      </c>
      <c r="AE43">
        <v>0</v>
      </c>
      <c r="AF43">
        <v>80.010000000000005</v>
      </c>
      <c r="AG43">
        <v>13.5</v>
      </c>
      <c r="AH43">
        <v>0</v>
      </c>
      <c r="AI43">
        <v>1</v>
      </c>
      <c r="AJ43">
        <v>9.39</v>
      </c>
      <c r="AK43">
        <v>24.72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2.59</v>
      </c>
      <c r="AU43" t="s">
        <v>63</v>
      </c>
      <c r="AV43">
        <v>0</v>
      </c>
      <c r="AW43">
        <v>2</v>
      </c>
      <c r="AX43">
        <v>502572337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1.0780875000000001</v>
      </c>
      <c r="CY43">
        <f>AB43</f>
        <v>751.29</v>
      </c>
      <c r="CZ43">
        <f>AF43</f>
        <v>80.010000000000005</v>
      </c>
      <c r="DA43">
        <f>AJ43</f>
        <v>9.39</v>
      </c>
      <c r="DB43">
        <v>0</v>
      </c>
    </row>
    <row r="44" spans="1:106" x14ac:dyDescent="0.35">
      <c r="A44">
        <f>ROW(Source!A36)</f>
        <v>36</v>
      </c>
      <c r="B44">
        <v>502564877</v>
      </c>
      <c r="C44">
        <v>502572333</v>
      </c>
      <c r="D44">
        <v>338037611</v>
      </c>
      <c r="E44">
        <v>1</v>
      </c>
      <c r="F44">
        <v>1</v>
      </c>
      <c r="G44">
        <v>1</v>
      </c>
      <c r="H44">
        <v>2</v>
      </c>
      <c r="I44" t="s">
        <v>349</v>
      </c>
      <c r="J44" t="s">
        <v>350</v>
      </c>
      <c r="K44" t="s">
        <v>351</v>
      </c>
      <c r="L44">
        <v>1368</v>
      </c>
      <c r="N44">
        <v>91022270</v>
      </c>
      <c r="O44" t="s">
        <v>331</v>
      </c>
      <c r="P44" t="s">
        <v>331</v>
      </c>
      <c r="Q44">
        <v>1</v>
      </c>
      <c r="W44">
        <v>0</v>
      </c>
      <c r="X44">
        <v>-1754144589</v>
      </c>
      <c r="Y44">
        <v>2.875</v>
      </c>
      <c r="AA44">
        <v>0</v>
      </c>
      <c r="AB44">
        <v>867.15</v>
      </c>
      <c r="AC44">
        <v>333.72</v>
      </c>
      <c r="AD44">
        <v>0</v>
      </c>
      <c r="AE44">
        <v>0</v>
      </c>
      <c r="AF44">
        <v>123</v>
      </c>
      <c r="AG44">
        <v>13.5</v>
      </c>
      <c r="AH44">
        <v>0</v>
      </c>
      <c r="AI44">
        <v>1</v>
      </c>
      <c r="AJ44">
        <v>7.05</v>
      </c>
      <c r="AK44">
        <v>24.72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2.2999999999999998</v>
      </c>
      <c r="AU44" t="s">
        <v>63</v>
      </c>
      <c r="AV44">
        <v>0</v>
      </c>
      <c r="AW44">
        <v>2</v>
      </c>
      <c r="AX44">
        <v>502572338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0.95737500000000009</v>
      </c>
      <c r="CY44">
        <f>AB44</f>
        <v>867.15</v>
      </c>
      <c r="CZ44">
        <f>AF44</f>
        <v>123</v>
      </c>
      <c r="DA44">
        <f>AJ44</f>
        <v>7.05</v>
      </c>
      <c r="DB44">
        <v>0</v>
      </c>
    </row>
    <row r="45" spans="1:106" x14ac:dyDescent="0.35">
      <c r="A45">
        <f>ROW(Source!A36)</f>
        <v>36</v>
      </c>
      <c r="B45">
        <v>502564877</v>
      </c>
      <c r="C45">
        <v>502572333</v>
      </c>
      <c r="D45">
        <v>338037661</v>
      </c>
      <c r="E45">
        <v>1</v>
      </c>
      <c r="F45">
        <v>1</v>
      </c>
      <c r="G45">
        <v>1</v>
      </c>
      <c r="H45">
        <v>2</v>
      </c>
      <c r="I45" t="s">
        <v>396</v>
      </c>
      <c r="J45" t="s">
        <v>397</v>
      </c>
      <c r="K45" t="s">
        <v>398</v>
      </c>
      <c r="L45">
        <v>1368</v>
      </c>
      <c r="N45">
        <v>91022270</v>
      </c>
      <c r="O45" t="s">
        <v>331</v>
      </c>
      <c r="P45" t="s">
        <v>331</v>
      </c>
      <c r="Q45">
        <v>1</v>
      </c>
      <c r="W45">
        <v>0</v>
      </c>
      <c r="X45">
        <v>1606831026</v>
      </c>
      <c r="Y45">
        <v>15.262499999999999</v>
      </c>
      <c r="AA45">
        <v>0</v>
      </c>
      <c r="AB45">
        <v>1013.57</v>
      </c>
      <c r="AC45">
        <v>355.97</v>
      </c>
      <c r="AD45">
        <v>0</v>
      </c>
      <c r="AE45">
        <v>0</v>
      </c>
      <c r="AF45">
        <v>206.01</v>
      </c>
      <c r="AG45">
        <v>14.4</v>
      </c>
      <c r="AH45">
        <v>0</v>
      </c>
      <c r="AI45">
        <v>1</v>
      </c>
      <c r="AJ45">
        <v>4.92</v>
      </c>
      <c r="AK45">
        <v>24.72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12.21</v>
      </c>
      <c r="AU45" t="s">
        <v>63</v>
      </c>
      <c r="AV45">
        <v>0</v>
      </c>
      <c r="AW45">
        <v>2</v>
      </c>
      <c r="AX45">
        <v>502572339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5.0824125000000002</v>
      </c>
      <c r="CY45">
        <f>AB45</f>
        <v>1013.57</v>
      </c>
      <c r="CZ45">
        <f>AF45</f>
        <v>206.01</v>
      </c>
      <c r="DA45">
        <f>AJ45</f>
        <v>4.92</v>
      </c>
      <c r="DB45">
        <v>0</v>
      </c>
    </row>
    <row r="46" spans="1:106" x14ac:dyDescent="0.35">
      <c r="A46">
        <f>ROW(Source!A36)</f>
        <v>36</v>
      </c>
      <c r="B46">
        <v>502564877</v>
      </c>
      <c r="C46">
        <v>502572333</v>
      </c>
      <c r="D46">
        <v>338037719</v>
      </c>
      <c r="E46">
        <v>1</v>
      </c>
      <c r="F46">
        <v>1</v>
      </c>
      <c r="G46">
        <v>1</v>
      </c>
      <c r="H46">
        <v>2</v>
      </c>
      <c r="I46" t="s">
        <v>399</v>
      </c>
      <c r="J46" t="s">
        <v>400</v>
      </c>
      <c r="K46" t="s">
        <v>401</v>
      </c>
      <c r="L46">
        <v>1368</v>
      </c>
      <c r="N46">
        <v>91022270</v>
      </c>
      <c r="O46" t="s">
        <v>331</v>
      </c>
      <c r="P46" t="s">
        <v>331</v>
      </c>
      <c r="Q46">
        <v>1</v>
      </c>
      <c r="W46">
        <v>0</v>
      </c>
      <c r="X46">
        <v>-962845729</v>
      </c>
      <c r="Y46">
        <v>1.3</v>
      </c>
      <c r="AA46">
        <v>0</v>
      </c>
      <c r="AB46">
        <v>686.4</v>
      </c>
      <c r="AC46">
        <v>286.75</v>
      </c>
      <c r="AD46">
        <v>0</v>
      </c>
      <c r="AE46">
        <v>0</v>
      </c>
      <c r="AF46">
        <v>110</v>
      </c>
      <c r="AG46">
        <v>11.6</v>
      </c>
      <c r="AH46">
        <v>0</v>
      </c>
      <c r="AI46">
        <v>1</v>
      </c>
      <c r="AJ46">
        <v>6.24</v>
      </c>
      <c r="AK46">
        <v>24.72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1.04</v>
      </c>
      <c r="AU46" t="s">
        <v>63</v>
      </c>
      <c r="AV46">
        <v>0</v>
      </c>
      <c r="AW46">
        <v>2</v>
      </c>
      <c r="AX46">
        <v>502572340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0.43290000000000006</v>
      </c>
      <c r="CY46">
        <f>AB46</f>
        <v>686.4</v>
      </c>
      <c r="CZ46">
        <f>AF46</f>
        <v>110</v>
      </c>
      <c r="DA46">
        <f>AJ46</f>
        <v>6.24</v>
      </c>
      <c r="DB46">
        <v>0</v>
      </c>
    </row>
    <row r="47" spans="1:106" x14ac:dyDescent="0.35">
      <c r="A47">
        <f>ROW(Source!A36)</f>
        <v>36</v>
      </c>
      <c r="B47">
        <v>502564877</v>
      </c>
      <c r="C47">
        <v>502572333</v>
      </c>
      <c r="D47">
        <v>338013924</v>
      </c>
      <c r="E47">
        <v>1</v>
      </c>
      <c r="F47">
        <v>1</v>
      </c>
      <c r="G47">
        <v>1</v>
      </c>
      <c r="H47">
        <v>3</v>
      </c>
      <c r="I47" t="s">
        <v>119</v>
      </c>
      <c r="J47" t="s">
        <v>121</v>
      </c>
      <c r="K47" t="s">
        <v>120</v>
      </c>
      <c r="L47">
        <v>1339</v>
      </c>
      <c r="N47">
        <v>1007</v>
      </c>
      <c r="O47" t="s">
        <v>112</v>
      </c>
      <c r="P47" t="s">
        <v>112</v>
      </c>
      <c r="Q47">
        <v>1</v>
      </c>
      <c r="W47">
        <v>0</v>
      </c>
      <c r="X47">
        <v>214605657</v>
      </c>
      <c r="Y47">
        <v>126</v>
      </c>
      <c r="AA47">
        <v>1356.78</v>
      </c>
      <c r="AB47">
        <v>0</v>
      </c>
      <c r="AC47">
        <v>0</v>
      </c>
      <c r="AD47">
        <v>0</v>
      </c>
      <c r="AE47">
        <v>118.6</v>
      </c>
      <c r="AF47">
        <v>0</v>
      </c>
      <c r="AG47">
        <v>0</v>
      </c>
      <c r="AH47">
        <v>0</v>
      </c>
      <c r="AI47">
        <v>11.44</v>
      </c>
      <c r="AJ47">
        <v>1</v>
      </c>
      <c r="AK47">
        <v>1</v>
      </c>
      <c r="AL47">
        <v>1</v>
      </c>
      <c r="AN47">
        <v>1</v>
      </c>
      <c r="AO47">
        <v>0</v>
      </c>
      <c r="AP47">
        <v>0</v>
      </c>
      <c r="AQ47">
        <v>0</v>
      </c>
      <c r="AR47">
        <v>0</v>
      </c>
      <c r="AT47">
        <v>126</v>
      </c>
      <c r="AV47">
        <v>0</v>
      </c>
      <c r="AW47">
        <v>1</v>
      </c>
      <c r="AX47">
        <v>-1</v>
      </c>
      <c r="AY47">
        <v>0</v>
      </c>
      <c r="AZ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41.958000000000006</v>
      </c>
      <c r="CY47">
        <f>AA47</f>
        <v>1356.78</v>
      </c>
      <c r="CZ47">
        <f>AE47</f>
        <v>118.6</v>
      </c>
      <c r="DA47">
        <f>AI47</f>
        <v>11.44</v>
      </c>
      <c r="DB47">
        <v>0</v>
      </c>
    </row>
    <row r="48" spans="1:106" x14ac:dyDescent="0.35">
      <c r="A48">
        <f>ROW(Source!A36)</f>
        <v>36</v>
      </c>
      <c r="B48">
        <v>502564877</v>
      </c>
      <c r="C48">
        <v>502572333</v>
      </c>
      <c r="D48">
        <v>338014469</v>
      </c>
      <c r="E48">
        <v>1</v>
      </c>
      <c r="F48">
        <v>1</v>
      </c>
      <c r="G48">
        <v>1</v>
      </c>
      <c r="H48">
        <v>3</v>
      </c>
      <c r="I48" t="s">
        <v>402</v>
      </c>
      <c r="J48" t="s">
        <v>403</v>
      </c>
      <c r="K48" t="s">
        <v>404</v>
      </c>
      <c r="L48">
        <v>1339</v>
      </c>
      <c r="N48">
        <v>1007</v>
      </c>
      <c r="O48" t="s">
        <v>112</v>
      </c>
      <c r="P48" t="s">
        <v>112</v>
      </c>
      <c r="Q48">
        <v>1</v>
      </c>
      <c r="W48">
        <v>0</v>
      </c>
      <c r="X48">
        <v>619799737</v>
      </c>
      <c r="Y48">
        <v>7</v>
      </c>
      <c r="AA48">
        <v>16.59</v>
      </c>
      <c r="AB48">
        <v>0</v>
      </c>
      <c r="AC48">
        <v>0</v>
      </c>
      <c r="AD48">
        <v>0</v>
      </c>
      <c r="AE48">
        <v>2.44</v>
      </c>
      <c r="AF48">
        <v>0</v>
      </c>
      <c r="AG48">
        <v>0</v>
      </c>
      <c r="AH48">
        <v>0</v>
      </c>
      <c r="AI48">
        <v>6.8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7</v>
      </c>
      <c r="AV48">
        <v>0</v>
      </c>
      <c r="AW48">
        <v>2</v>
      </c>
      <c r="AX48">
        <v>502572342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2.331</v>
      </c>
      <c r="CY48">
        <f>AA48</f>
        <v>16.59</v>
      </c>
      <c r="CZ48">
        <f>AE48</f>
        <v>2.44</v>
      </c>
      <c r="DA48">
        <f>AI48</f>
        <v>6.8</v>
      </c>
      <c r="DB48">
        <v>0</v>
      </c>
    </row>
    <row r="49" spans="1:106" x14ac:dyDescent="0.35">
      <c r="A49">
        <f>ROW(Source!A38)</f>
        <v>38</v>
      </c>
      <c r="B49">
        <v>502564877</v>
      </c>
      <c r="C49">
        <v>502573203</v>
      </c>
      <c r="D49">
        <v>37776094</v>
      </c>
      <c r="E49">
        <v>1</v>
      </c>
      <c r="F49">
        <v>1</v>
      </c>
      <c r="G49">
        <v>1</v>
      </c>
      <c r="H49">
        <v>1</v>
      </c>
      <c r="I49" t="s">
        <v>341</v>
      </c>
      <c r="K49" t="s">
        <v>342</v>
      </c>
      <c r="L49">
        <v>1369</v>
      </c>
      <c r="N49">
        <v>1013</v>
      </c>
      <c r="O49" t="s">
        <v>325</v>
      </c>
      <c r="P49" t="s">
        <v>325</v>
      </c>
      <c r="Q49">
        <v>1</v>
      </c>
      <c r="W49">
        <v>0</v>
      </c>
      <c r="X49">
        <v>1415306217</v>
      </c>
      <c r="Y49">
        <v>179.8</v>
      </c>
      <c r="AA49">
        <v>0</v>
      </c>
      <c r="AB49">
        <v>0</v>
      </c>
      <c r="AC49">
        <v>0</v>
      </c>
      <c r="AD49">
        <v>8.31</v>
      </c>
      <c r="AE49">
        <v>0</v>
      </c>
      <c r="AF49">
        <v>0</v>
      </c>
      <c r="AG49">
        <v>0</v>
      </c>
      <c r="AH49">
        <v>8.31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179.8</v>
      </c>
      <c r="AV49">
        <v>1</v>
      </c>
      <c r="AW49">
        <v>2</v>
      </c>
      <c r="AX49">
        <v>502573204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Y49*Source!I38</f>
        <v>316.98739999999998</v>
      </c>
      <c r="CY49">
        <f>AD49</f>
        <v>8.31</v>
      </c>
      <c r="CZ49">
        <f>AH49</f>
        <v>8.31</v>
      </c>
      <c r="DA49">
        <f>AL49</f>
        <v>1</v>
      </c>
      <c r="DB49">
        <v>0</v>
      </c>
    </row>
    <row r="50" spans="1:106" x14ac:dyDescent="0.35">
      <c r="A50">
        <f>ROW(Source!A38)</f>
        <v>38</v>
      </c>
      <c r="B50">
        <v>502564877</v>
      </c>
      <c r="C50">
        <v>502573203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72</v>
      </c>
      <c r="K50" t="s">
        <v>326</v>
      </c>
      <c r="L50">
        <v>608254</v>
      </c>
      <c r="N50">
        <v>1013</v>
      </c>
      <c r="O50" t="s">
        <v>327</v>
      </c>
      <c r="P50" t="s">
        <v>327</v>
      </c>
      <c r="Q50">
        <v>1</v>
      </c>
      <c r="W50">
        <v>0</v>
      </c>
      <c r="X50">
        <v>-185737400</v>
      </c>
      <c r="Y50">
        <v>45.63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45.63</v>
      </c>
      <c r="AV50">
        <v>2</v>
      </c>
      <c r="AW50">
        <v>2</v>
      </c>
      <c r="AX50">
        <v>502573205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Y50*Source!I38</f>
        <v>80.445689999999999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35">
      <c r="A51">
        <f>ROW(Source!A38)</f>
        <v>38</v>
      </c>
      <c r="B51">
        <v>502564877</v>
      </c>
      <c r="C51">
        <v>502573203</v>
      </c>
      <c r="D51">
        <v>338037139</v>
      </c>
      <c r="E51">
        <v>1</v>
      </c>
      <c r="F51">
        <v>1</v>
      </c>
      <c r="G51">
        <v>1</v>
      </c>
      <c r="H51">
        <v>2</v>
      </c>
      <c r="I51" t="s">
        <v>388</v>
      </c>
      <c r="J51" t="s">
        <v>389</v>
      </c>
      <c r="K51" t="s">
        <v>390</v>
      </c>
      <c r="L51">
        <v>1368</v>
      </c>
      <c r="N51">
        <v>91022270</v>
      </c>
      <c r="O51" t="s">
        <v>331</v>
      </c>
      <c r="P51" t="s">
        <v>331</v>
      </c>
      <c r="Q51">
        <v>1</v>
      </c>
      <c r="W51">
        <v>0</v>
      </c>
      <c r="X51">
        <v>315863809</v>
      </c>
      <c r="Y51">
        <v>44.08</v>
      </c>
      <c r="AA51">
        <v>0</v>
      </c>
      <c r="AB51">
        <v>629.03</v>
      </c>
      <c r="AC51">
        <v>248.68</v>
      </c>
      <c r="AD51">
        <v>0</v>
      </c>
      <c r="AE51">
        <v>0</v>
      </c>
      <c r="AF51">
        <v>46.56</v>
      </c>
      <c r="AG51">
        <v>10.06</v>
      </c>
      <c r="AH51">
        <v>0</v>
      </c>
      <c r="AI51">
        <v>1</v>
      </c>
      <c r="AJ51">
        <v>13.51</v>
      </c>
      <c r="AK51">
        <v>24.72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44.08</v>
      </c>
      <c r="AV51">
        <v>0</v>
      </c>
      <c r="AW51">
        <v>2</v>
      </c>
      <c r="AX51">
        <v>502573206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77.713039999999992</v>
      </c>
      <c r="CY51">
        <f>AB51</f>
        <v>629.03</v>
      </c>
      <c r="CZ51">
        <f>AF51</f>
        <v>46.56</v>
      </c>
      <c r="DA51">
        <f>AJ51</f>
        <v>13.51</v>
      </c>
      <c r="DB51">
        <v>0</v>
      </c>
    </row>
    <row r="52" spans="1:106" x14ac:dyDescent="0.35">
      <c r="A52">
        <f>ROW(Source!A38)</f>
        <v>38</v>
      </c>
      <c r="B52">
        <v>502564877</v>
      </c>
      <c r="C52">
        <v>502573203</v>
      </c>
      <c r="D52">
        <v>338037611</v>
      </c>
      <c r="E52">
        <v>1</v>
      </c>
      <c r="F52">
        <v>1</v>
      </c>
      <c r="G52">
        <v>1</v>
      </c>
      <c r="H52">
        <v>2</v>
      </c>
      <c r="I52" t="s">
        <v>349</v>
      </c>
      <c r="J52" t="s">
        <v>350</v>
      </c>
      <c r="K52" t="s">
        <v>351</v>
      </c>
      <c r="L52">
        <v>1368</v>
      </c>
      <c r="N52">
        <v>91022270</v>
      </c>
      <c r="O52" t="s">
        <v>331</v>
      </c>
      <c r="P52" t="s">
        <v>331</v>
      </c>
      <c r="Q52">
        <v>1</v>
      </c>
      <c r="W52">
        <v>0</v>
      </c>
      <c r="X52">
        <v>-1754144589</v>
      </c>
      <c r="Y52">
        <v>1.55</v>
      </c>
      <c r="AA52">
        <v>0</v>
      </c>
      <c r="AB52">
        <v>867.15</v>
      </c>
      <c r="AC52">
        <v>333.72</v>
      </c>
      <c r="AD52">
        <v>0</v>
      </c>
      <c r="AE52">
        <v>0</v>
      </c>
      <c r="AF52">
        <v>123</v>
      </c>
      <c r="AG52">
        <v>13.5</v>
      </c>
      <c r="AH52">
        <v>0</v>
      </c>
      <c r="AI52">
        <v>1</v>
      </c>
      <c r="AJ52">
        <v>7.05</v>
      </c>
      <c r="AK52">
        <v>24.72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1.55</v>
      </c>
      <c r="AV52">
        <v>0</v>
      </c>
      <c r="AW52">
        <v>2</v>
      </c>
      <c r="AX52">
        <v>502573207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2.73265</v>
      </c>
      <c r="CY52">
        <f>AB52</f>
        <v>867.15</v>
      </c>
      <c r="CZ52">
        <f>AF52</f>
        <v>123</v>
      </c>
      <c r="DA52">
        <f>AJ52</f>
        <v>7.05</v>
      </c>
      <c r="DB52">
        <v>0</v>
      </c>
    </row>
    <row r="53" spans="1:106" x14ac:dyDescent="0.35">
      <c r="A53">
        <f>ROW(Source!A38)</f>
        <v>38</v>
      </c>
      <c r="B53">
        <v>502564877</v>
      </c>
      <c r="C53">
        <v>502573203</v>
      </c>
      <c r="D53">
        <v>338038962</v>
      </c>
      <c r="E53">
        <v>1</v>
      </c>
      <c r="F53">
        <v>1</v>
      </c>
      <c r="G53">
        <v>1</v>
      </c>
      <c r="H53">
        <v>2</v>
      </c>
      <c r="I53" t="s">
        <v>391</v>
      </c>
      <c r="J53" t="s">
        <v>392</v>
      </c>
      <c r="K53" t="s">
        <v>393</v>
      </c>
      <c r="L53">
        <v>1368</v>
      </c>
      <c r="N53">
        <v>91022270</v>
      </c>
      <c r="O53" t="s">
        <v>331</v>
      </c>
      <c r="P53" t="s">
        <v>331</v>
      </c>
      <c r="Q53">
        <v>1</v>
      </c>
      <c r="W53">
        <v>0</v>
      </c>
      <c r="X53">
        <v>-2071518695</v>
      </c>
      <c r="Y53">
        <v>88.16</v>
      </c>
      <c r="AA53">
        <v>0</v>
      </c>
      <c r="AB53">
        <v>5.0599999999999996</v>
      </c>
      <c r="AC53">
        <v>0</v>
      </c>
      <c r="AD53">
        <v>0</v>
      </c>
      <c r="AE53">
        <v>0</v>
      </c>
      <c r="AF53">
        <v>1.53</v>
      </c>
      <c r="AG53">
        <v>0</v>
      </c>
      <c r="AH53">
        <v>0</v>
      </c>
      <c r="AI53">
        <v>1</v>
      </c>
      <c r="AJ53">
        <v>3.31</v>
      </c>
      <c r="AK53">
        <v>24.72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88.16</v>
      </c>
      <c r="AV53">
        <v>0</v>
      </c>
      <c r="AW53">
        <v>2</v>
      </c>
      <c r="AX53">
        <v>502573208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155.42607999999998</v>
      </c>
      <c r="CY53">
        <f>AB53</f>
        <v>5.0599999999999996</v>
      </c>
      <c r="CZ53">
        <f>AF53</f>
        <v>1.53</v>
      </c>
      <c r="DA53">
        <f>AJ53</f>
        <v>3.31</v>
      </c>
      <c r="DB53">
        <v>0</v>
      </c>
    </row>
    <row r="54" spans="1:106" x14ac:dyDescent="0.35">
      <c r="A54">
        <f>ROW(Source!A39)</f>
        <v>39</v>
      </c>
      <c r="B54">
        <v>502564877</v>
      </c>
      <c r="C54">
        <v>502573209</v>
      </c>
      <c r="D54">
        <v>37773610</v>
      </c>
      <c r="E54">
        <v>1</v>
      </c>
      <c r="F54">
        <v>1</v>
      </c>
      <c r="G54">
        <v>1</v>
      </c>
      <c r="H54">
        <v>1</v>
      </c>
      <c r="I54" t="s">
        <v>394</v>
      </c>
      <c r="K54" t="s">
        <v>395</v>
      </c>
      <c r="L54">
        <v>1369</v>
      </c>
      <c r="N54">
        <v>1013</v>
      </c>
      <c r="O54" t="s">
        <v>325</v>
      </c>
      <c r="P54" t="s">
        <v>325</v>
      </c>
      <c r="Q54">
        <v>1</v>
      </c>
      <c r="W54">
        <v>0</v>
      </c>
      <c r="X54">
        <v>-886480961</v>
      </c>
      <c r="Y54">
        <v>18.077999999999999</v>
      </c>
      <c r="AA54">
        <v>0</v>
      </c>
      <c r="AB54">
        <v>0</v>
      </c>
      <c r="AC54">
        <v>0</v>
      </c>
      <c r="AD54">
        <v>8.02</v>
      </c>
      <c r="AE54">
        <v>0</v>
      </c>
      <c r="AF54">
        <v>0</v>
      </c>
      <c r="AG54">
        <v>0</v>
      </c>
      <c r="AH54">
        <v>8.02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15.72</v>
      </c>
      <c r="AU54" t="s">
        <v>64</v>
      </c>
      <c r="AV54">
        <v>1</v>
      </c>
      <c r="AW54">
        <v>2</v>
      </c>
      <c r="AX54">
        <v>502573218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12.256884000000001</v>
      </c>
      <c r="CY54">
        <f>AD54</f>
        <v>8.02</v>
      </c>
      <c r="CZ54">
        <f>AH54</f>
        <v>8.02</v>
      </c>
      <c r="DA54">
        <f>AL54</f>
        <v>1</v>
      </c>
      <c r="DB54">
        <v>0</v>
      </c>
    </row>
    <row r="55" spans="1:106" x14ac:dyDescent="0.35">
      <c r="A55">
        <f>ROW(Source!A39)</f>
        <v>39</v>
      </c>
      <c r="B55">
        <v>502564877</v>
      </c>
      <c r="C55">
        <v>502573209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72</v>
      </c>
      <c r="K55" t="s">
        <v>326</v>
      </c>
      <c r="L55">
        <v>608254</v>
      </c>
      <c r="N55">
        <v>1013</v>
      </c>
      <c r="O55" t="s">
        <v>327</v>
      </c>
      <c r="P55" t="s">
        <v>327</v>
      </c>
      <c r="Q55">
        <v>1</v>
      </c>
      <c r="W55">
        <v>0</v>
      </c>
      <c r="X55">
        <v>-185737400</v>
      </c>
      <c r="Y55">
        <v>17.350000000000001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13.88</v>
      </c>
      <c r="AU55" t="s">
        <v>63</v>
      </c>
      <c r="AV55">
        <v>2</v>
      </c>
      <c r="AW55">
        <v>2</v>
      </c>
      <c r="AX55">
        <v>502573219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11.763300000000001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35">
      <c r="A56">
        <f>ROW(Source!A39)</f>
        <v>39</v>
      </c>
      <c r="B56">
        <v>502564877</v>
      </c>
      <c r="C56">
        <v>502573209</v>
      </c>
      <c r="D56">
        <v>338036908</v>
      </c>
      <c r="E56">
        <v>1</v>
      </c>
      <c r="F56">
        <v>1</v>
      </c>
      <c r="G56">
        <v>1</v>
      </c>
      <c r="H56">
        <v>2</v>
      </c>
      <c r="I56" t="s">
        <v>343</v>
      </c>
      <c r="J56" t="s">
        <v>344</v>
      </c>
      <c r="K56" t="s">
        <v>345</v>
      </c>
      <c r="L56">
        <v>1368</v>
      </c>
      <c r="N56">
        <v>91022270</v>
      </c>
      <c r="O56" t="s">
        <v>331</v>
      </c>
      <c r="P56" t="s">
        <v>331</v>
      </c>
      <c r="Q56">
        <v>1</v>
      </c>
      <c r="W56">
        <v>0</v>
      </c>
      <c r="X56">
        <v>1549832887</v>
      </c>
      <c r="Y56">
        <v>5.3624999999999998</v>
      </c>
      <c r="AA56">
        <v>0</v>
      </c>
      <c r="AB56">
        <v>681.25</v>
      </c>
      <c r="AC56">
        <v>248.68</v>
      </c>
      <c r="AD56">
        <v>0</v>
      </c>
      <c r="AE56">
        <v>0</v>
      </c>
      <c r="AF56">
        <v>99.89</v>
      </c>
      <c r="AG56">
        <v>10.06</v>
      </c>
      <c r="AH56">
        <v>0</v>
      </c>
      <c r="AI56">
        <v>1</v>
      </c>
      <c r="AJ56">
        <v>6.82</v>
      </c>
      <c r="AK56">
        <v>24.72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4.29</v>
      </c>
      <c r="AU56" t="s">
        <v>63</v>
      </c>
      <c r="AV56">
        <v>0</v>
      </c>
      <c r="AW56">
        <v>2</v>
      </c>
      <c r="AX56">
        <v>502573220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3.6357750000000002</v>
      </c>
      <c r="CY56">
        <f>AB56</f>
        <v>681.25</v>
      </c>
      <c r="CZ56">
        <f>AF56</f>
        <v>99.89</v>
      </c>
      <c r="DA56">
        <f>AJ56</f>
        <v>6.82</v>
      </c>
      <c r="DB56">
        <v>0</v>
      </c>
    </row>
    <row r="57" spans="1:106" x14ac:dyDescent="0.35">
      <c r="A57">
        <f>ROW(Source!A39)</f>
        <v>39</v>
      </c>
      <c r="B57">
        <v>502564877</v>
      </c>
      <c r="C57">
        <v>502573209</v>
      </c>
      <c r="D57">
        <v>338037611</v>
      </c>
      <c r="E57">
        <v>1</v>
      </c>
      <c r="F57">
        <v>1</v>
      </c>
      <c r="G57">
        <v>1</v>
      </c>
      <c r="H57">
        <v>2</v>
      </c>
      <c r="I57" t="s">
        <v>349</v>
      </c>
      <c r="J57" t="s">
        <v>350</v>
      </c>
      <c r="K57" t="s">
        <v>351</v>
      </c>
      <c r="L57">
        <v>1368</v>
      </c>
      <c r="N57">
        <v>91022270</v>
      </c>
      <c r="O57" t="s">
        <v>331</v>
      </c>
      <c r="P57" t="s">
        <v>331</v>
      </c>
      <c r="Q57">
        <v>1</v>
      </c>
      <c r="W57">
        <v>0</v>
      </c>
      <c r="X57">
        <v>-1754144589</v>
      </c>
      <c r="Y57">
        <v>2.2124999999999999</v>
      </c>
      <c r="AA57">
        <v>0</v>
      </c>
      <c r="AB57">
        <v>867.15</v>
      </c>
      <c r="AC57">
        <v>333.72</v>
      </c>
      <c r="AD57">
        <v>0</v>
      </c>
      <c r="AE57">
        <v>0</v>
      </c>
      <c r="AF57">
        <v>123</v>
      </c>
      <c r="AG57">
        <v>13.5</v>
      </c>
      <c r="AH57">
        <v>0</v>
      </c>
      <c r="AI57">
        <v>1</v>
      </c>
      <c r="AJ57">
        <v>7.05</v>
      </c>
      <c r="AK57">
        <v>24.72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1.77</v>
      </c>
      <c r="AU57" t="s">
        <v>63</v>
      </c>
      <c r="AV57">
        <v>0</v>
      </c>
      <c r="AW57">
        <v>2</v>
      </c>
      <c r="AX57">
        <v>502573221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1.500075</v>
      </c>
      <c r="CY57">
        <f>AB57</f>
        <v>867.15</v>
      </c>
      <c r="CZ57">
        <f>AF57</f>
        <v>123</v>
      </c>
      <c r="DA57">
        <f>AJ57</f>
        <v>7.05</v>
      </c>
      <c r="DB57">
        <v>0</v>
      </c>
    </row>
    <row r="58" spans="1:106" x14ac:dyDescent="0.35">
      <c r="A58">
        <f>ROW(Source!A39)</f>
        <v>39</v>
      </c>
      <c r="B58">
        <v>502564877</v>
      </c>
      <c r="C58">
        <v>502573209</v>
      </c>
      <c r="D58">
        <v>338037661</v>
      </c>
      <c r="E58">
        <v>1</v>
      </c>
      <c r="F58">
        <v>1</v>
      </c>
      <c r="G58">
        <v>1</v>
      </c>
      <c r="H58">
        <v>2</v>
      </c>
      <c r="I58" t="s">
        <v>396</v>
      </c>
      <c r="J58" t="s">
        <v>397</v>
      </c>
      <c r="K58" t="s">
        <v>398</v>
      </c>
      <c r="L58">
        <v>1368</v>
      </c>
      <c r="N58">
        <v>91022270</v>
      </c>
      <c r="O58" t="s">
        <v>331</v>
      </c>
      <c r="P58" t="s">
        <v>331</v>
      </c>
      <c r="Q58">
        <v>1</v>
      </c>
      <c r="W58">
        <v>0</v>
      </c>
      <c r="X58">
        <v>1606831026</v>
      </c>
      <c r="Y58">
        <v>8.85</v>
      </c>
      <c r="AA58">
        <v>0</v>
      </c>
      <c r="AB58">
        <v>1013.57</v>
      </c>
      <c r="AC58">
        <v>355.97</v>
      </c>
      <c r="AD58">
        <v>0</v>
      </c>
      <c r="AE58">
        <v>0</v>
      </c>
      <c r="AF58">
        <v>206.01</v>
      </c>
      <c r="AG58">
        <v>14.4</v>
      </c>
      <c r="AH58">
        <v>0</v>
      </c>
      <c r="AI58">
        <v>1</v>
      </c>
      <c r="AJ58">
        <v>4.92</v>
      </c>
      <c r="AK58">
        <v>24.72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7.08</v>
      </c>
      <c r="AU58" t="s">
        <v>63</v>
      </c>
      <c r="AV58">
        <v>0</v>
      </c>
      <c r="AW58">
        <v>2</v>
      </c>
      <c r="AX58">
        <v>502573222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6.0003000000000002</v>
      </c>
      <c r="CY58">
        <f>AB58</f>
        <v>1013.57</v>
      </c>
      <c r="CZ58">
        <f>AF58</f>
        <v>206.01</v>
      </c>
      <c r="DA58">
        <f>AJ58</f>
        <v>4.92</v>
      </c>
      <c r="DB58">
        <v>0</v>
      </c>
    </row>
    <row r="59" spans="1:106" x14ac:dyDescent="0.35">
      <c r="A59">
        <f>ROW(Source!A39)</f>
        <v>39</v>
      </c>
      <c r="B59">
        <v>502564877</v>
      </c>
      <c r="C59">
        <v>502573209</v>
      </c>
      <c r="D59">
        <v>338037719</v>
      </c>
      <c r="E59">
        <v>1</v>
      </c>
      <c r="F59">
        <v>1</v>
      </c>
      <c r="G59">
        <v>1</v>
      </c>
      <c r="H59">
        <v>2</v>
      </c>
      <c r="I59" t="s">
        <v>399</v>
      </c>
      <c r="J59" t="s">
        <v>400</v>
      </c>
      <c r="K59" t="s">
        <v>401</v>
      </c>
      <c r="L59">
        <v>1368</v>
      </c>
      <c r="N59">
        <v>91022270</v>
      </c>
      <c r="O59" t="s">
        <v>331</v>
      </c>
      <c r="P59" t="s">
        <v>331</v>
      </c>
      <c r="Q59">
        <v>1</v>
      </c>
      <c r="W59">
        <v>0</v>
      </c>
      <c r="X59">
        <v>-962845729</v>
      </c>
      <c r="Y59">
        <v>0.92500000000000004</v>
      </c>
      <c r="AA59">
        <v>0</v>
      </c>
      <c r="AB59">
        <v>686.4</v>
      </c>
      <c r="AC59">
        <v>286.75</v>
      </c>
      <c r="AD59">
        <v>0</v>
      </c>
      <c r="AE59">
        <v>0</v>
      </c>
      <c r="AF59">
        <v>110</v>
      </c>
      <c r="AG59">
        <v>11.6</v>
      </c>
      <c r="AH59">
        <v>0</v>
      </c>
      <c r="AI59">
        <v>1</v>
      </c>
      <c r="AJ59">
        <v>6.24</v>
      </c>
      <c r="AK59">
        <v>24.72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0.74</v>
      </c>
      <c r="AU59" t="s">
        <v>63</v>
      </c>
      <c r="AV59">
        <v>0</v>
      </c>
      <c r="AW59">
        <v>2</v>
      </c>
      <c r="AX59">
        <v>502573223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0.6271500000000001</v>
      </c>
      <c r="CY59">
        <f>AB59</f>
        <v>686.4</v>
      </c>
      <c r="CZ59">
        <f>AF59</f>
        <v>110</v>
      </c>
      <c r="DA59">
        <f>AJ59</f>
        <v>6.24</v>
      </c>
      <c r="DB59">
        <v>0</v>
      </c>
    </row>
    <row r="60" spans="1:106" x14ac:dyDescent="0.35">
      <c r="A60">
        <f>ROW(Source!A39)</f>
        <v>39</v>
      </c>
      <c r="B60">
        <v>502564877</v>
      </c>
      <c r="C60">
        <v>502573209</v>
      </c>
      <c r="D60">
        <v>338014037</v>
      </c>
      <c r="E60">
        <v>1</v>
      </c>
      <c r="F60">
        <v>1</v>
      </c>
      <c r="G60">
        <v>1</v>
      </c>
      <c r="H60">
        <v>3</v>
      </c>
      <c r="I60" t="s">
        <v>110</v>
      </c>
      <c r="J60" t="s">
        <v>113</v>
      </c>
      <c r="K60" t="s">
        <v>111</v>
      </c>
      <c r="L60">
        <v>1339</v>
      </c>
      <c r="N60">
        <v>1007</v>
      </c>
      <c r="O60" t="s">
        <v>112</v>
      </c>
      <c r="P60" t="s">
        <v>112</v>
      </c>
      <c r="Q60">
        <v>1</v>
      </c>
      <c r="W60">
        <v>0</v>
      </c>
      <c r="X60">
        <v>-1147251145</v>
      </c>
      <c r="Y60">
        <v>110</v>
      </c>
      <c r="AA60">
        <v>432.69</v>
      </c>
      <c r="AB60">
        <v>0</v>
      </c>
      <c r="AC60">
        <v>0</v>
      </c>
      <c r="AD60">
        <v>0</v>
      </c>
      <c r="AE60">
        <v>55.26</v>
      </c>
      <c r="AF60">
        <v>0</v>
      </c>
      <c r="AG60">
        <v>0</v>
      </c>
      <c r="AH60">
        <v>0</v>
      </c>
      <c r="AI60">
        <v>7.83</v>
      </c>
      <c r="AJ60">
        <v>1</v>
      </c>
      <c r="AK60">
        <v>1</v>
      </c>
      <c r="AL60">
        <v>1</v>
      </c>
      <c r="AN60">
        <v>1</v>
      </c>
      <c r="AO60">
        <v>0</v>
      </c>
      <c r="AP60">
        <v>0</v>
      </c>
      <c r="AQ60">
        <v>0</v>
      </c>
      <c r="AR60">
        <v>0</v>
      </c>
      <c r="AT60">
        <v>110</v>
      </c>
      <c r="AV60">
        <v>0</v>
      </c>
      <c r="AW60">
        <v>1</v>
      </c>
      <c r="AX60">
        <v>-1</v>
      </c>
      <c r="AY60">
        <v>0</v>
      </c>
      <c r="AZ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74.58</v>
      </c>
      <c r="CY60">
        <f>AA60</f>
        <v>432.69</v>
      </c>
      <c r="CZ60">
        <f>AE60</f>
        <v>55.26</v>
      </c>
      <c r="DA60">
        <f>AI60</f>
        <v>7.83</v>
      </c>
      <c r="DB60">
        <v>0</v>
      </c>
    </row>
    <row r="61" spans="1:106" x14ac:dyDescent="0.35">
      <c r="A61">
        <f>ROW(Source!A39)</f>
        <v>39</v>
      </c>
      <c r="B61">
        <v>502564877</v>
      </c>
      <c r="C61">
        <v>502573209</v>
      </c>
      <c r="D61">
        <v>338014469</v>
      </c>
      <c r="E61">
        <v>1</v>
      </c>
      <c r="F61">
        <v>1</v>
      </c>
      <c r="G61">
        <v>1</v>
      </c>
      <c r="H61">
        <v>3</v>
      </c>
      <c r="I61" t="s">
        <v>402</v>
      </c>
      <c r="J61" t="s">
        <v>403</v>
      </c>
      <c r="K61" t="s">
        <v>404</v>
      </c>
      <c r="L61">
        <v>1339</v>
      </c>
      <c r="N61">
        <v>1007</v>
      </c>
      <c r="O61" t="s">
        <v>112</v>
      </c>
      <c r="P61" t="s">
        <v>112</v>
      </c>
      <c r="Q61">
        <v>1</v>
      </c>
      <c r="W61">
        <v>0</v>
      </c>
      <c r="X61">
        <v>619799737</v>
      </c>
      <c r="Y61">
        <v>5</v>
      </c>
      <c r="AA61">
        <v>16.59</v>
      </c>
      <c r="AB61">
        <v>0</v>
      </c>
      <c r="AC61">
        <v>0</v>
      </c>
      <c r="AD61">
        <v>0</v>
      </c>
      <c r="AE61">
        <v>2.44</v>
      </c>
      <c r="AF61">
        <v>0</v>
      </c>
      <c r="AG61">
        <v>0</v>
      </c>
      <c r="AH61">
        <v>0</v>
      </c>
      <c r="AI61">
        <v>6.8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5</v>
      </c>
      <c r="AV61">
        <v>0</v>
      </c>
      <c r="AW61">
        <v>2</v>
      </c>
      <c r="AX61">
        <v>502573225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3.39</v>
      </c>
      <c r="CY61">
        <f>AA61</f>
        <v>16.59</v>
      </c>
      <c r="CZ61">
        <f>AE61</f>
        <v>2.44</v>
      </c>
      <c r="DA61">
        <f>AI61</f>
        <v>6.8</v>
      </c>
      <c r="DB61">
        <v>0</v>
      </c>
    </row>
    <row r="62" spans="1:106" x14ac:dyDescent="0.35">
      <c r="A62">
        <f>ROW(Source!A41)</f>
        <v>41</v>
      </c>
      <c r="B62">
        <v>502564877</v>
      </c>
      <c r="C62">
        <v>502573227</v>
      </c>
      <c r="D62">
        <v>37775544</v>
      </c>
      <c r="E62">
        <v>1</v>
      </c>
      <c r="F62">
        <v>1</v>
      </c>
      <c r="G62">
        <v>1</v>
      </c>
      <c r="H62">
        <v>1</v>
      </c>
      <c r="I62" t="s">
        <v>405</v>
      </c>
      <c r="K62" t="s">
        <v>406</v>
      </c>
      <c r="L62">
        <v>1369</v>
      </c>
      <c r="N62">
        <v>1013</v>
      </c>
      <c r="O62" t="s">
        <v>325</v>
      </c>
      <c r="P62" t="s">
        <v>325</v>
      </c>
      <c r="Q62">
        <v>1</v>
      </c>
      <c r="W62">
        <v>0</v>
      </c>
      <c r="X62">
        <v>-932636904</v>
      </c>
      <c r="Y62">
        <v>27.8185</v>
      </c>
      <c r="AA62">
        <v>0</v>
      </c>
      <c r="AB62">
        <v>0</v>
      </c>
      <c r="AC62">
        <v>0</v>
      </c>
      <c r="AD62">
        <v>8.09</v>
      </c>
      <c r="AE62">
        <v>0</v>
      </c>
      <c r="AF62">
        <v>0</v>
      </c>
      <c r="AG62">
        <v>0</v>
      </c>
      <c r="AH62">
        <v>8.09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24.19</v>
      </c>
      <c r="AU62" t="s">
        <v>64</v>
      </c>
      <c r="AV62">
        <v>1</v>
      </c>
      <c r="AW62">
        <v>2</v>
      </c>
      <c r="AX62">
        <v>502573237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13.90925</v>
      </c>
      <c r="CY62">
        <f>AD62</f>
        <v>8.09</v>
      </c>
      <c r="CZ62">
        <f>AH62</f>
        <v>8.09</v>
      </c>
      <c r="DA62">
        <f>AL62</f>
        <v>1</v>
      </c>
      <c r="DB62">
        <v>0</v>
      </c>
    </row>
    <row r="63" spans="1:106" x14ac:dyDescent="0.35">
      <c r="A63">
        <f>ROW(Source!A41)</f>
        <v>41</v>
      </c>
      <c r="B63">
        <v>502564877</v>
      </c>
      <c r="C63">
        <v>502573227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72</v>
      </c>
      <c r="K63" t="s">
        <v>326</v>
      </c>
      <c r="L63">
        <v>608254</v>
      </c>
      <c r="N63">
        <v>1013</v>
      </c>
      <c r="O63" t="s">
        <v>327</v>
      </c>
      <c r="P63" t="s">
        <v>327</v>
      </c>
      <c r="Q63">
        <v>1</v>
      </c>
      <c r="W63">
        <v>0</v>
      </c>
      <c r="X63">
        <v>-185737400</v>
      </c>
      <c r="Y63">
        <v>25.75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20.6</v>
      </c>
      <c r="AU63" t="s">
        <v>63</v>
      </c>
      <c r="AV63">
        <v>2</v>
      </c>
      <c r="AW63">
        <v>2</v>
      </c>
      <c r="AX63">
        <v>502573238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12.875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x14ac:dyDescent="0.35">
      <c r="A64">
        <f>ROW(Source!A41)</f>
        <v>41</v>
      </c>
      <c r="B64">
        <v>502564877</v>
      </c>
      <c r="C64">
        <v>502573227</v>
      </c>
      <c r="D64">
        <v>338036908</v>
      </c>
      <c r="E64">
        <v>1</v>
      </c>
      <c r="F64">
        <v>1</v>
      </c>
      <c r="G64">
        <v>1</v>
      </c>
      <c r="H64">
        <v>2</v>
      </c>
      <c r="I64" t="s">
        <v>343</v>
      </c>
      <c r="J64" t="s">
        <v>344</v>
      </c>
      <c r="K64" t="s">
        <v>345</v>
      </c>
      <c r="L64">
        <v>1368</v>
      </c>
      <c r="N64">
        <v>91022270</v>
      </c>
      <c r="O64" t="s">
        <v>331</v>
      </c>
      <c r="P64" t="s">
        <v>331</v>
      </c>
      <c r="Q64">
        <v>1</v>
      </c>
      <c r="W64">
        <v>0</v>
      </c>
      <c r="X64">
        <v>1549832887</v>
      </c>
      <c r="Y64">
        <v>3.0750000000000002</v>
      </c>
      <c r="AA64">
        <v>0</v>
      </c>
      <c r="AB64">
        <v>681.25</v>
      </c>
      <c r="AC64">
        <v>248.68</v>
      </c>
      <c r="AD64">
        <v>0</v>
      </c>
      <c r="AE64">
        <v>0</v>
      </c>
      <c r="AF64">
        <v>99.89</v>
      </c>
      <c r="AG64">
        <v>10.06</v>
      </c>
      <c r="AH64">
        <v>0</v>
      </c>
      <c r="AI64">
        <v>1</v>
      </c>
      <c r="AJ64">
        <v>6.82</v>
      </c>
      <c r="AK64">
        <v>24.72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2.46</v>
      </c>
      <c r="AU64" t="s">
        <v>63</v>
      </c>
      <c r="AV64">
        <v>0</v>
      </c>
      <c r="AW64">
        <v>2</v>
      </c>
      <c r="AX64">
        <v>502573239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1.5375000000000001</v>
      </c>
      <c r="CY64">
        <f>AB64</f>
        <v>681.25</v>
      </c>
      <c r="CZ64">
        <f>AF64</f>
        <v>99.89</v>
      </c>
      <c r="DA64">
        <f>AJ64</f>
        <v>6.82</v>
      </c>
      <c r="DB64">
        <v>0</v>
      </c>
    </row>
    <row r="65" spans="1:106" x14ac:dyDescent="0.35">
      <c r="A65">
        <f>ROW(Source!A41)</f>
        <v>41</v>
      </c>
      <c r="B65">
        <v>502564877</v>
      </c>
      <c r="C65">
        <v>502573227</v>
      </c>
      <c r="D65">
        <v>338037300</v>
      </c>
      <c r="E65">
        <v>1</v>
      </c>
      <c r="F65">
        <v>1</v>
      </c>
      <c r="G65">
        <v>1</v>
      </c>
      <c r="H65">
        <v>2</v>
      </c>
      <c r="I65" t="s">
        <v>332</v>
      </c>
      <c r="J65" t="s">
        <v>333</v>
      </c>
      <c r="K65" t="s">
        <v>334</v>
      </c>
      <c r="L65">
        <v>1368</v>
      </c>
      <c r="N65">
        <v>91022270</v>
      </c>
      <c r="O65" t="s">
        <v>331</v>
      </c>
      <c r="P65" t="s">
        <v>331</v>
      </c>
      <c r="Q65">
        <v>1</v>
      </c>
      <c r="W65">
        <v>0</v>
      </c>
      <c r="X65">
        <v>-229935220</v>
      </c>
      <c r="Y65">
        <v>3.2374999999999998</v>
      </c>
      <c r="AA65">
        <v>0</v>
      </c>
      <c r="AB65">
        <v>751.29</v>
      </c>
      <c r="AC65">
        <v>333.72</v>
      </c>
      <c r="AD65">
        <v>0</v>
      </c>
      <c r="AE65">
        <v>0</v>
      </c>
      <c r="AF65">
        <v>80.010000000000005</v>
      </c>
      <c r="AG65">
        <v>13.5</v>
      </c>
      <c r="AH65">
        <v>0</v>
      </c>
      <c r="AI65">
        <v>1</v>
      </c>
      <c r="AJ65">
        <v>9.39</v>
      </c>
      <c r="AK65">
        <v>24.72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2.59</v>
      </c>
      <c r="AU65" t="s">
        <v>63</v>
      </c>
      <c r="AV65">
        <v>0</v>
      </c>
      <c r="AW65">
        <v>2</v>
      </c>
      <c r="AX65">
        <v>502573240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Y65*Source!I41</f>
        <v>1.6187499999999999</v>
      </c>
      <c r="CY65">
        <f>AB65</f>
        <v>751.29</v>
      </c>
      <c r="CZ65">
        <f>AF65</f>
        <v>80.010000000000005</v>
      </c>
      <c r="DA65">
        <f>AJ65</f>
        <v>9.39</v>
      </c>
      <c r="DB65">
        <v>0</v>
      </c>
    </row>
    <row r="66" spans="1:106" x14ac:dyDescent="0.35">
      <c r="A66">
        <f>ROW(Source!A41)</f>
        <v>41</v>
      </c>
      <c r="B66">
        <v>502564877</v>
      </c>
      <c r="C66">
        <v>502573227</v>
      </c>
      <c r="D66">
        <v>338037611</v>
      </c>
      <c r="E66">
        <v>1</v>
      </c>
      <c r="F66">
        <v>1</v>
      </c>
      <c r="G66">
        <v>1</v>
      </c>
      <c r="H66">
        <v>2</v>
      </c>
      <c r="I66" t="s">
        <v>349</v>
      </c>
      <c r="J66" t="s">
        <v>350</v>
      </c>
      <c r="K66" t="s">
        <v>351</v>
      </c>
      <c r="L66">
        <v>1368</v>
      </c>
      <c r="N66">
        <v>91022270</v>
      </c>
      <c r="O66" t="s">
        <v>331</v>
      </c>
      <c r="P66" t="s">
        <v>331</v>
      </c>
      <c r="Q66">
        <v>1</v>
      </c>
      <c r="W66">
        <v>0</v>
      </c>
      <c r="X66">
        <v>-1754144589</v>
      </c>
      <c r="Y66">
        <v>2.875</v>
      </c>
      <c r="AA66">
        <v>0</v>
      </c>
      <c r="AB66">
        <v>867.15</v>
      </c>
      <c r="AC66">
        <v>333.72</v>
      </c>
      <c r="AD66">
        <v>0</v>
      </c>
      <c r="AE66">
        <v>0</v>
      </c>
      <c r="AF66">
        <v>123</v>
      </c>
      <c r="AG66">
        <v>13.5</v>
      </c>
      <c r="AH66">
        <v>0</v>
      </c>
      <c r="AI66">
        <v>1</v>
      </c>
      <c r="AJ66">
        <v>7.05</v>
      </c>
      <c r="AK66">
        <v>24.72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2.2999999999999998</v>
      </c>
      <c r="AU66" t="s">
        <v>63</v>
      </c>
      <c r="AV66">
        <v>0</v>
      </c>
      <c r="AW66">
        <v>2</v>
      </c>
      <c r="AX66">
        <v>502573241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Y66*Source!I41</f>
        <v>1.4375</v>
      </c>
      <c r="CY66">
        <f>AB66</f>
        <v>867.15</v>
      </c>
      <c r="CZ66">
        <f>AF66</f>
        <v>123</v>
      </c>
      <c r="DA66">
        <f>AJ66</f>
        <v>7.05</v>
      </c>
      <c r="DB66">
        <v>0</v>
      </c>
    </row>
    <row r="67" spans="1:106" x14ac:dyDescent="0.35">
      <c r="A67">
        <f>ROW(Source!A41)</f>
        <v>41</v>
      </c>
      <c r="B67">
        <v>502564877</v>
      </c>
      <c r="C67">
        <v>502573227</v>
      </c>
      <c r="D67">
        <v>338037661</v>
      </c>
      <c r="E67">
        <v>1</v>
      </c>
      <c r="F67">
        <v>1</v>
      </c>
      <c r="G67">
        <v>1</v>
      </c>
      <c r="H67">
        <v>2</v>
      </c>
      <c r="I67" t="s">
        <v>396</v>
      </c>
      <c r="J67" t="s">
        <v>397</v>
      </c>
      <c r="K67" t="s">
        <v>398</v>
      </c>
      <c r="L67">
        <v>1368</v>
      </c>
      <c r="N67">
        <v>91022270</v>
      </c>
      <c r="O67" t="s">
        <v>331</v>
      </c>
      <c r="P67" t="s">
        <v>331</v>
      </c>
      <c r="Q67">
        <v>1</v>
      </c>
      <c r="W67">
        <v>0</v>
      </c>
      <c r="X67">
        <v>1606831026</v>
      </c>
      <c r="Y67">
        <v>15.262499999999999</v>
      </c>
      <c r="AA67">
        <v>0</v>
      </c>
      <c r="AB67">
        <v>1013.57</v>
      </c>
      <c r="AC67">
        <v>355.97</v>
      </c>
      <c r="AD67">
        <v>0</v>
      </c>
      <c r="AE67">
        <v>0</v>
      </c>
      <c r="AF67">
        <v>206.01</v>
      </c>
      <c r="AG67">
        <v>14.4</v>
      </c>
      <c r="AH67">
        <v>0</v>
      </c>
      <c r="AI67">
        <v>1</v>
      </c>
      <c r="AJ67">
        <v>4.92</v>
      </c>
      <c r="AK67">
        <v>24.72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12.21</v>
      </c>
      <c r="AU67" t="s">
        <v>63</v>
      </c>
      <c r="AV67">
        <v>0</v>
      </c>
      <c r="AW67">
        <v>2</v>
      </c>
      <c r="AX67">
        <v>502573242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Y67*Source!I41</f>
        <v>7.6312499999999996</v>
      </c>
      <c r="CY67">
        <f>AB67</f>
        <v>1013.57</v>
      </c>
      <c r="CZ67">
        <f>AF67</f>
        <v>206.01</v>
      </c>
      <c r="DA67">
        <f>AJ67</f>
        <v>4.92</v>
      </c>
      <c r="DB67">
        <v>0</v>
      </c>
    </row>
    <row r="68" spans="1:106" x14ac:dyDescent="0.35">
      <c r="A68">
        <f>ROW(Source!A41)</f>
        <v>41</v>
      </c>
      <c r="B68">
        <v>502564877</v>
      </c>
      <c r="C68">
        <v>502573227</v>
      </c>
      <c r="D68">
        <v>338037719</v>
      </c>
      <c r="E68">
        <v>1</v>
      </c>
      <c r="F68">
        <v>1</v>
      </c>
      <c r="G68">
        <v>1</v>
      </c>
      <c r="H68">
        <v>2</v>
      </c>
      <c r="I68" t="s">
        <v>399</v>
      </c>
      <c r="J68" t="s">
        <v>400</v>
      </c>
      <c r="K68" t="s">
        <v>401</v>
      </c>
      <c r="L68">
        <v>1368</v>
      </c>
      <c r="N68">
        <v>91022270</v>
      </c>
      <c r="O68" t="s">
        <v>331</v>
      </c>
      <c r="P68" t="s">
        <v>331</v>
      </c>
      <c r="Q68">
        <v>1</v>
      </c>
      <c r="W68">
        <v>0</v>
      </c>
      <c r="X68">
        <v>-962845729</v>
      </c>
      <c r="Y68">
        <v>1.3</v>
      </c>
      <c r="AA68">
        <v>0</v>
      </c>
      <c r="AB68">
        <v>686.4</v>
      </c>
      <c r="AC68">
        <v>286.75</v>
      </c>
      <c r="AD68">
        <v>0</v>
      </c>
      <c r="AE68">
        <v>0</v>
      </c>
      <c r="AF68">
        <v>110</v>
      </c>
      <c r="AG68">
        <v>11.6</v>
      </c>
      <c r="AH68">
        <v>0</v>
      </c>
      <c r="AI68">
        <v>1</v>
      </c>
      <c r="AJ68">
        <v>6.24</v>
      </c>
      <c r="AK68">
        <v>24.72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1.04</v>
      </c>
      <c r="AU68" t="s">
        <v>63</v>
      </c>
      <c r="AV68">
        <v>0</v>
      </c>
      <c r="AW68">
        <v>2</v>
      </c>
      <c r="AX68">
        <v>502573243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Y68*Source!I41</f>
        <v>0.65</v>
      </c>
      <c r="CY68">
        <f>AB68</f>
        <v>686.4</v>
      </c>
      <c r="CZ68">
        <f>AF68</f>
        <v>110</v>
      </c>
      <c r="DA68">
        <f>AJ68</f>
        <v>6.24</v>
      </c>
      <c r="DB68">
        <v>0</v>
      </c>
    </row>
    <row r="69" spans="1:106" x14ac:dyDescent="0.35">
      <c r="A69">
        <f>ROW(Source!A41)</f>
        <v>41</v>
      </c>
      <c r="B69">
        <v>502564877</v>
      </c>
      <c r="C69">
        <v>502573227</v>
      </c>
      <c r="D69">
        <v>338013924</v>
      </c>
      <c r="E69">
        <v>1</v>
      </c>
      <c r="F69">
        <v>1</v>
      </c>
      <c r="G69">
        <v>1</v>
      </c>
      <c r="H69">
        <v>3</v>
      </c>
      <c r="I69" t="s">
        <v>119</v>
      </c>
      <c r="J69" t="s">
        <v>121</v>
      </c>
      <c r="K69" t="s">
        <v>120</v>
      </c>
      <c r="L69">
        <v>1339</v>
      </c>
      <c r="N69">
        <v>1007</v>
      </c>
      <c r="O69" t="s">
        <v>112</v>
      </c>
      <c r="P69" t="s">
        <v>112</v>
      </c>
      <c r="Q69">
        <v>1</v>
      </c>
      <c r="W69">
        <v>0</v>
      </c>
      <c r="X69">
        <v>214605657</v>
      </c>
      <c r="Y69">
        <v>126</v>
      </c>
      <c r="AA69">
        <v>1356.78</v>
      </c>
      <c r="AB69">
        <v>0</v>
      </c>
      <c r="AC69">
        <v>0</v>
      </c>
      <c r="AD69">
        <v>0</v>
      </c>
      <c r="AE69">
        <v>118.6</v>
      </c>
      <c r="AF69">
        <v>0</v>
      </c>
      <c r="AG69">
        <v>0</v>
      </c>
      <c r="AH69">
        <v>0</v>
      </c>
      <c r="AI69">
        <v>11.44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T69">
        <v>126</v>
      </c>
      <c r="AV69">
        <v>0</v>
      </c>
      <c r="AW69">
        <v>1</v>
      </c>
      <c r="AX69">
        <v>-1</v>
      </c>
      <c r="AY69">
        <v>0</v>
      </c>
      <c r="AZ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63</v>
      </c>
      <c r="CY69">
        <f>AA69</f>
        <v>1356.78</v>
      </c>
      <c r="CZ69">
        <f>AE69</f>
        <v>118.6</v>
      </c>
      <c r="DA69">
        <f>AI69</f>
        <v>11.44</v>
      </c>
      <c r="DB69">
        <v>0</v>
      </c>
    </row>
    <row r="70" spans="1:106" x14ac:dyDescent="0.35">
      <c r="A70">
        <f>ROW(Source!A41)</f>
        <v>41</v>
      </c>
      <c r="B70">
        <v>502564877</v>
      </c>
      <c r="C70">
        <v>502573227</v>
      </c>
      <c r="D70">
        <v>338014469</v>
      </c>
      <c r="E70">
        <v>1</v>
      </c>
      <c r="F70">
        <v>1</v>
      </c>
      <c r="G70">
        <v>1</v>
      </c>
      <c r="H70">
        <v>3</v>
      </c>
      <c r="I70" t="s">
        <v>402</v>
      </c>
      <c r="J70" t="s">
        <v>403</v>
      </c>
      <c r="K70" t="s">
        <v>404</v>
      </c>
      <c r="L70">
        <v>1339</v>
      </c>
      <c r="N70">
        <v>1007</v>
      </c>
      <c r="O70" t="s">
        <v>112</v>
      </c>
      <c r="P70" t="s">
        <v>112</v>
      </c>
      <c r="Q70">
        <v>1</v>
      </c>
      <c r="W70">
        <v>0</v>
      </c>
      <c r="X70">
        <v>619799737</v>
      </c>
      <c r="Y70">
        <v>7</v>
      </c>
      <c r="AA70">
        <v>16.59</v>
      </c>
      <c r="AB70">
        <v>0</v>
      </c>
      <c r="AC70">
        <v>0</v>
      </c>
      <c r="AD70">
        <v>0</v>
      </c>
      <c r="AE70">
        <v>2.44</v>
      </c>
      <c r="AF70">
        <v>0</v>
      </c>
      <c r="AG70">
        <v>0</v>
      </c>
      <c r="AH70">
        <v>0</v>
      </c>
      <c r="AI70">
        <v>6.8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7</v>
      </c>
      <c r="AV70">
        <v>0</v>
      </c>
      <c r="AW70">
        <v>2</v>
      </c>
      <c r="AX70">
        <v>502573245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3.5</v>
      </c>
      <c r="CY70">
        <f>AA70</f>
        <v>16.59</v>
      </c>
      <c r="CZ70">
        <f>AE70</f>
        <v>2.44</v>
      </c>
      <c r="DA70">
        <f>AI70</f>
        <v>6.8</v>
      </c>
      <c r="DB70">
        <v>0</v>
      </c>
    </row>
    <row r="71" spans="1:106" x14ac:dyDescent="0.35">
      <c r="A71">
        <f>ROW(Source!A43)</f>
        <v>43</v>
      </c>
      <c r="B71">
        <v>502564877</v>
      </c>
      <c r="C71">
        <v>502573302</v>
      </c>
      <c r="D71">
        <v>37776124</v>
      </c>
      <c r="E71">
        <v>1</v>
      </c>
      <c r="F71">
        <v>1</v>
      </c>
      <c r="G71">
        <v>1</v>
      </c>
      <c r="H71">
        <v>1</v>
      </c>
      <c r="I71" t="s">
        <v>407</v>
      </c>
      <c r="K71" t="s">
        <v>408</v>
      </c>
      <c r="L71">
        <v>1369</v>
      </c>
      <c r="N71">
        <v>1013</v>
      </c>
      <c r="O71" t="s">
        <v>325</v>
      </c>
      <c r="P71" t="s">
        <v>325</v>
      </c>
      <c r="Q71">
        <v>1</v>
      </c>
      <c r="W71">
        <v>0</v>
      </c>
      <c r="X71">
        <v>-546915240</v>
      </c>
      <c r="Y71">
        <v>245.68600000000001</v>
      </c>
      <c r="AA71">
        <v>0</v>
      </c>
      <c r="AB71">
        <v>0</v>
      </c>
      <c r="AC71">
        <v>0</v>
      </c>
      <c r="AD71">
        <v>8.74</v>
      </c>
      <c r="AE71">
        <v>0</v>
      </c>
      <c r="AF71">
        <v>0</v>
      </c>
      <c r="AG71">
        <v>0</v>
      </c>
      <c r="AH71">
        <v>8.74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213.64</v>
      </c>
      <c r="AU71" t="s">
        <v>64</v>
      </c>
      <c r="AV71">
        <v>1</v>
      </c>
      <c r="AW71">
        <v>2</v>
      </c>
      <c r="AX71">
        <v>502573303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Y71*Source!I43</f>
        <v>251.52104249999999</v>
      </c>
      <c r="CY71">
        <f>AD71</f>
        <v>8.74</v>
      </c>
      <c r="CZ71">
        <f>AH71</f>
        <v>8.74</v>
      </c>
      <c r="DA71">
        <f>AL71</f>
        <v>1</v>
      </c>
      <c r="DB71">
        <v>0</v>
      </c>
    </row>
    <row r="72" spans="1:106" x14ac:dyDescent="0.35">
      <c r="A72">
        <f>ROW(Source!A43)</f>
        <v>43</v>
      </c>
      <c r="B72">
        <v>502564877</v>
      </c>
      <c r="C72">
        <v>502573302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72</v>
      </c>
      <c r="K72" t="s">
        <v>326</v>
      </c>
      <c r="L72">
        <v>608254</v>
      </c>
      <c r="N72">
        <v>1013</v>
      </c>
      <c r="O72" t="s">
        <v>327</v>
      </c>
      <c r="P72" t="s">
        <v>327</v>
      </c>
      <c r="Q72">
        <v>1</v>
      </c>
      <c r="W72">
        <v>0</v>
      </c>
      <c r="X72">
        <v>-185737400</v>
      </c>
      <c r="Y72">
        <v>110.8125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88.65</v>
      </c>
      <c r="AU72" t="s">
        <v>63</v>
      </c>
      <c r="AV72">
        <v>2</v>
      </c>
      <c r="AW72">
        <v>2</v>
      </c>
      <c r="AX72">
        <v>502573304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Y72*Source!I43</f>
        <v>113.44429687499999</v>
      </c>
      <c r="CY72">
        <f>AD72</f>
        <v>0</v>
      </c>
      <c r="CZ72">
        <f>AH72</f>
        <v>0</v>
      </c>
      <c r="DA72">
        <f>AL72</f>
        <v>1</v>
      </c>
      <c r="DB72">
        <v>0</v>
      </c>
    </row>
    <row r="73" spans="1:106" x14ac:dyDescent="0.35">
      <c r="A73">
        <f>ROW(Source!A43)</f>
        <v>43</v>
      </c>
      <c r="B73">
        <v>502564877</v>
      </c>
      <c r="C73">
        <v>502573302</v>
      </c>
      <c r="D73">
        <v>338036808</v>
      </c>
      <c r="E73">
        <v>1</v>
      </c>
      <c r="F73">
        <v>1</v>
      </c>
      <c r="G73">
        <v>1</v>
      </c>
      <c r="H73">
        <v>2</v>
      </c>
      <c r="I73" t="s">
        <v>372</v>
      </c>
      <c r="J73" t="s">
        <v>373</v>
      </c>
      <c r="K73" t="s">
        <v>374</v>
      </c>
      <c r="L73">
        <v>1368</v>
      </c>
      <c r="N73">
        <v>91022270</v>
      </c>
      <c r="O73" t="s">
        <v>331</v>
      </c>
      <c r="P73" t="s">
        <v>331</v>
      </c>
      <c r="Q73">
        <v>1</v>
      </c>
      <c r="W73">
        <v>0</v>
      </c>
      <c r="X73">
        <v>1106923569</v>
      </c>
      <c r="Y73">
        <v>84.075000000000003</v>
      </c>
      <c r="AA73">
        <v>0</v>
      </c>
      <c r="AB73">
        <v>817.6</v>
      </c>
      <c r="AC73">
        <v>333.72</v>
      </c>
      <c r="AD73">
        <v>0</v>
      </c>
      <c r="AE73">
        <v>0</v>
      </c>
      <c r="AF73">
        <v>112</v>
      </c>
      <c r="AG73">
        <v>13.5</v>
      </c>
      <c r="AH73">
        <v>0</v>
      </c>
      <c r="AI73">
        <v>1</v>
      </c>
      <c r="AJ73">
        <v>7.3</v>
      </c>
      <c r="AK73">
        <v>24.72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67.260000000000005</v>
      </c>
      <c r="AU73" t="s">
        <v>63</v>
      </c>
      <c r="AV73">
        <v>0</v>
      </c>
      <c r="AW73">
        <v>2</v>
      </c>
      <c r="AX73">
        <v>502573305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Y73*Source!I43</f>
        <v>86.071781250000001</v>
      </c>
      <c r="CY73">
        <f>AB73</f>
        <v>817.6</v>
      </c>
      <c r="CZ73">
        <f>AF73</f>
        <v>112</v>
      </c>
      <c r="DA73">
        <f>AJ73</f>
        <v>7.3</v>
      </c>
      <c r="DB73">
        <v>0</v>
      </c>
    </row>
    <row r="74" spans="1:106" x14ac:dyDescent="0.35">
      <c r="A74">
        <f>ROW(Source!A43)</f>
        <v>43</v>
      </c>
      <c r="B74">
        <v>502564877</v>
      </c>
      <c r="C74">
        <v>502573302</v>
      </c>
      <c r="D74">
        <v>338037075</v>
      </c>
      <c r="E74">
        <v>1</v>
      </c>
      <c r="F74">
        <v>1</v>
      </c>
      <c r="G74">
        <v>1</v>
      </c>
      <c r="H74">
        <v>2</v>
      </c>
      <c r="I74" t="s">
        <v>409</v>
      </c>
      <c r="J74" t="s">
        <v>410</v>
      </c>
      <c r="K74" t="s">
        <v>411</v>
      </c>
      <c r="L74">
        <v>1368</v>
      </c>
      <c r="N74">
        <v>91022270</v>
      </c>
      <c r="O74" t="s">
        <v>331</v>
      </c>
      <c r="P74" t="s">
        <v>331</v>
      </c>
      <c r="Q74">
        <v>1</v>
      </c>
      <c r="W74">
        <v>0</v>
      </c>
      <c r="X74">
        <v>180222472</v>
      </c>
      <c r="Y74">
        <v>9.2624999999999993</v>
      </c>
      <c r="AA74">
        <v>0</v>
      </c>
      <c r="AB74">
        <v>90.58</v>
      </c>
      <c r="AC74">
        <v>0</v>
      </c>
      <c r="AD74">
        <v>0</v>
      </c>
      <c r="AE74">
        <v>0</v>
      </c>
      <c r="AF74">
        <v>14</v>
      </c>
      <c r="AG74">
        <v>0</v>
      </c>
      <c r="AH74">
        <v>0</v>
      </c>
      <c r="AI74">
        <v>1</v>
      </c>
      <c r="AJ74">
        <v>6.47</v>
      </c>
      <c r="AK74">
        <v>24.72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7.41</v>
      </c>
      <c r="AU74" t="s">
        <v>63</v>
      </c>
      <c r="AV74">
        <v>0</v>
      </c>
      <c r="AW74">
        <v>2</v>
      </c>
      <c r="AX74">
        <v>502573306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Y74*Source!I43</f>
        <v>9.4824843749999985</v>
      </c>
      <c r="CY74">
        <f>AB74</f>
        <v>90.58</v>
      </c>
      <c r="CZ74">
        <f>AF74</f>
        <v>14</v>
      </c>
      <c r="DA74">
        <f>AJ74</f>
        <v>6.47</v>
      </c>
      <c r="DB74">
        <v>0</v>
      </c>
    </row>
    <row r="75" spans="1:106" x14ac:dyDescent="0.35">
      <c r="A75">
        <f>ROW(Source!A43)</f>
        <v>43</v>
      </c>
      <c r="B75">
        <v>502564877</v>
      </c>
      <c r="C75">
        <v>502573302</v>
      </c>
      <c r="D75">
        <v>338037621</v>
      </c>
      <c r="E75">
        <v>1</v>
      </c>
      <c r="F75">
        <v>1</v>
      </c>
      <c r="G75">
        <v>1</v>
      </c>
      <c r="H75">
        <v>2</v>
      </c>
      <c r="I75" t="s">
        <v>412</v>
      </c>
      <c r="J75" t="s">
        <v>413</v>
      </c>
      <c r="K75" t="s">
        <v>414</v>
      </c>
      <c r="L75">
        <v>1368</v>
      </c>
      <c r="N75">
        <v>91022270</v>
      </c>
      <c r="O75" t="s">
        <v>331</v>
      </c>
      <c r="P75" t="s">
        <v>331</v>
      </c>
      <c r="Q75">
        <v>1</v>
      </c>
      <c r="W75">
        <v>0</v>
      </c>
      <c r="X75">
        <v>-1931107531</v>
      </c>
      <c r="Y75">
        <v>26.737500000000001</v>
      </c>
      <c r="AA75">
        <v>0</v>
      </c>
      <c r="AB75">
        <v>1072.53</v>
      </c>
      <c r="AC75">
        <v>286.75</v>
      </c>
      <c r="AD75">
        <v>0</v>
      </c>
      <c r="AE75">
        <v>0</v>
      </c>
      <c r="AF75">
        <v>175.25</v>
      </c>
      <c r="AG75">
        <v>11.6</v>
      </c>
      <c r="AH75">
        <v>0</v>
      </c>
      <c r="AI75">
        <v>1</v>
      </c>
      <c r="AJ75">
        <v>6.12</v>
      </c>
      <c r="AK75">
        <v>24.72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21.39</v>
      </c>
      <c r="AU75" t="s">
        <v>63</v>
      </c>
      <c r="AV75">
        <v>0</v>
      </c>
      <c r="AW75">
        <v>2</v>
      </c>
      <c r="AX75">
        <v>502573307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27.372515624999998</v>
      </c>
      <c r="CY75">
        <f>AB75</f>
        <v>1072.53</v>
      </c>
      <c r="CZ75">
        <f>AF75</f>
        <v>175.25</v>
      </c>
      <c r="DA75">
        <f>AJ75</f>
        <v>6.12</v>
      </c>
      <c r="DB75">
        <v>0</v>
      </c>
    </row>
    <row r="76" spans="1:106" x14ac:dyDescent="0.35">
      <c r="A76">
        <f>ROW(Source!A43)</f>
        <v>43</v>
      </c>
      <c r="B76">
        <v>502564877</v>
      </c>
      <c r="C76">
        <v>502573302</v>
      </c>
      <c r="D76">
        <v>338037681</v>
      </c>
      <c r="E76">
        <v>1</v>
      </c>
      <c r="F76">
        <v>1</v>
      </c>
      <c r="G76">
        <v>1</v>
      </c>
      <c r="H76">
        <v>2</v>
      </c>
      <c r="I76" t="s">
        <v>415</v>
      </c>
      <c r="J76" t="s">
        <v>416</v>
      </c>
      <c r="K76" t="s">
        <v>417</v>
      </c>
      <c r="L76">
        <v>1368</v>
      </c>
      <c r="N76">
        <v>91022270</v>
      </c>
      <c r="O76" t="s">
        <v>331</v>
      </c>
      <c r="P76" t="s">
        <v>331</v>
      </c>
      <c r="Q76">
        <v>1</v>
      </c>
      <c r="W76">
        <v>0</v>
      </c>
      <c r="X76">
        <v>527313756</v>
      </c>
      <c r="Y76">
        <v>2.1</v>
      </c>
      <c r="AA76">
        <v>0</v>
      </c>
      <c r="AB76">
        <v>114.9</v>
      </c>
      <c r="AC76">
        <v>0</v>
      </c>
      <c r="AD76">
        <v>0</v>
      </c>
      <c r="AE76">
        <v>0</v>
      </c>
      <c r="AF76">
        <v>30</v>
      </c>
      <c r="AG76">
        <v>0</v>
      </c>
      <c r="AH76">
        <v>0</v>
      </c>
      <c r="AI76">
        <v>1</v>
      </c>
      <c r="AJ76">
        <v>3.83</v>
      </c>
      <c r="AK76">
        <v>24.72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1.68</v>
      </c>
      <c r="AU76" t="s">
        <v>63</v>
      </c>
      <c r="AV76">
        <v>0</v>
      </c>
      <c r="AW76">
        <v>2</v>
      </c>
      <c r="AX76">
        <v>502573308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2.1498749999999998</v>
      </c>
      <c r="CY76">
        <f>AB76</f>
        <v>114.9</v>
      </c>
      <c r="CZ76">
        <f>AF76</f>
        <v>30</v>
      </c>
      <c r="DA76">
        <f>AJ76</f>
        <v>3.83</v>
      </c>
      <c r="DB76">
        <v>0</v>
      </c>
    </row>
    <row r="77" spans="1:106" x14ac:dyDescent="0.35">
      <c r="A77">
        <f>ROW(Source!A43)</f>
        <v>43</v>
      </c>
      <c r="B77">
        <v>502564877</v>
      </c>
      <c r="C77">
        <v>502573302</v>
      </c>
      <c r="D77">
        <v>338039342</v>
      </c>
      <c r="E77">
        <v>1</v>
      </c>
      <c r="F77">
        <v>1</v>
      </c>
      <c r="G77">
        <v>1</v>
      </c>
      <c r="H77">
        <v>2</v>
      </c>
      <c r="I77" t="s">
        <v>355</v>
      </c>
      <c r="J77" t="s">
        <v>356</v>
      </c>
      <c r="K77" t="s">
        <v>357</v>
      </c>
      <c r="L77">
        <v>1368</v>
      </c>
      <c r="N77">
        <v>91022270</v>
      </c>
      <c r="O77" t="s">
        <v>331</v>
      </c>
      <c r="P77" t="s">
        <v>331</v>
      </c>
      <c r="Q77">
        <v>1</v>
      </c>
      <c r="W77">
        <v>0</v>
      </c>
      <c r="X77">
        <v>1230759911</v>
      </c>
      <c r="Y77">
        <v>17.45</v>
      </c>
      <c r="AA77">
        <v>0</v>
      </c>
      <c r="AB77">
        <v>785.4</v>
      </c>
      <c r="AC77">
        <v>286.75</v>
      </c>
      <c r="AD77">
        <v>0</v>
      </c>
      <c r="AE77">
        <v>0</v>
      </c>
      <c r="AF77">
        <v>87.17</v>
      </c>
      <c r="AG77">
        <v>11.6</v>
      </c>
      <c r="AH77">
        <v>0</v>
      </c>
      <c r="AI77">
        <v>1</v>
      </c>
      <c r="AJ77">
        <v>9.01</v>
      </c>
      <c r="AK77">
        <v>24.72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13.96</v>
      </c>
      <c r="AU77" t="s">
        <v>63</v>
      </c>
      <c r="AV77">
        <v>0</v>
      </c>
      <c r="AW77">
        <v>2</v>
      </c>
      <c r="AX77">
        <v>502573309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Y77*Source!I43</f>
        <v>17.864437499999998</v>
      </c>
      <c r="CY77">
        <f>AB77</f>
        <v>785.4</v>
      </c>
      <c r="CZ77">
        <f>AF77</f>
        <v>87.17</v>
      </c>
      <c r="DA77">
        <f>AJ77</f>
        <v>9.01</v>
      </c>
      <c r="DB77">
        <v>0</v>
      </c>
    </row>
    <row r="78" spans="1:106" x14ac:dyDescent="0.35">
      <c r="A78">
        <f>ROW(Source!A43)</f>
        <v>43</v>
      </c>
      <c r="B78">
        <v>502564877</v>
      </c>
      <c r="C78">
        <v>502573302</v>
      </c>
      <c r="D78">
        <v>337978394</v>
      </c>
      <c r="E78">
        <v>1</v>
      </c>
      <c r="F78">
        <v>1</v>
      </c>
      <c r="G78">
        <v>1</v>
      </c>
      <c r="H78">
        <v>3</v>
      </c>
      <c r="I78" t="s">
        <v>418</v>
      </c>
      <c r="J78" t="s">
        <v>419</v>
      </c>
      <c r="K78" t="s">
        <v>420</v>
      </c>
      <c r="L78">
        <v>1348</v>
      </c>
      <c r="N78">
        <v>39568864</v>
      </c>
      <c r="O78" t="s">
        <v>381</v>
      </c>
      <c r="P78" t="s">
        <v>381</v>
      </c>
      <c r="Q78">
        <v>1000</v>
      </c>
      <c r="W78">
        <v>0</v>
      </c>
      <c r="X78">
        <v>-1319080431</v>
      </c>
      <c r="Y78">
        <v>1.3299999999999999E-2</v>
      </c>
      <c r="AA78">
        <v>80144.92</v>
      </c>
      <c r="AB78">
        <v>0</v>
      </c>
      <c r="AC78">
        <v>0</v>
      </c>
      <c r="AD78">
        <v>0</v>
      </c>
      <c r="AE78">
        <v>9749.99</v>
      </c>
      <c r="AF78">
        <v>0</v>
      </c>
      <c r="AG78">
        <v>0</v>
      </c>
      <c r="AH78">
        <v>0</v>
      </c>
      <c r="AI78">
        <v>8.2200000000000006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1.3299999999999999E-2</v>
      </c>
      <c r="AV78">
        <v>0</v>
      </c>
      <c r="AW78">
        <v>2</v>
      </c>
      <c r="AX78">
        <v>502573310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Y78*Source!I43</f>
        <v>1.3615874999999998E-2</v>
      </c>
      <c r="CY78">
        <f>AA78</f>
        <v>80144.92</v>
      </c>
      <c r="CZ78">
        <f>AE78</f>
        <v>9749.99</v>
      </c>
      <c r="DA78">
        <f>AI78</f>
        <v>8.2200000000000006</v>
      </c>
      <c r="DB78">
        <v>0</v>
      </c>
    </row>
    <row r="79" spans="1:106" x14ac:dyDescent="0.35">
      <c r="A79">
        <f>ROW(Source!A43)</f>
        <v>43</v>
      </c>
      <c r="B79">
        <v>502564877</v>
      </c>
      <c r="C79">
        <v>502573302</v>
      </c>
      <c r="D79">
        <v>337972870</v>
      </c>
      <c r="E79">
        <v>1</v>
      </c>
      <c r="F79">
        <v>1</v>
      </c>
      <c r="G79">
        <v>1</v>
      </c>
      <c r="H79">
        <v>3</v>
      </c>
      <c r="I79" t="s">
        <v>421</v>
      </c>
      <c r="J79" t="s">
        <v>422</v>
      </c>
      <c r="K79" t="s">
        <v>423</v>
      </c>
      <c r="L79">
        <v>1348</v>
      </c>
      <c r="N79">
        <v>39568864</v>
      </c>
      <c r="O79" t="s">
        <v>381</v>
      </c>
      <c r="P79" t="s">
        <v>381</v>
      </c>
      <c r="Q79">
        <v>1000</v>
      </c>
      <c r="W79">
        <v>0</v>
      </c>
      <c r="X79">
        <v>-159856178</v>
      </c>
      <c r="Y79">
        <v>0.46</v>
      </c>
      <c r="AA79">
        <v>34710</v>
      </c>
      <c r="AB79">
        <v>0</v>
      </c>
      <c r="AC79">
        <v>0</v>
      </c>
      <c r="AD79">
        <v>0</v>
      </c>
      <c r="AE79">
        <v>1500</v>
      </c>
      <c r="AF79">
        <v>0</v>
      </c>
      <c r="AG79">
        <v>0</v>
      </c>
      <c r="AH79">
        <v>0</v>
      </c>
      <c r="AI79">
        <v>23.14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0.46</v>
      </c>
      <c r="AV79">
        <v>0</v>
      </c>
      <c r="AW79">
        <v>2</v>
      </c>
      <c r="AX79">
        <v>502573311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Y79*Source!I43</f>
        <v>0.47092499999999998</v>
      </c>
      <c r="CY79">
        <f>AA79</f>
        <v>34710</v>
      </c>
      <c r="CZ79">
        <f>AE79</f>
        <v>1500</v>
      </c>
      <c r="DA79">
        <f>AI79</f>
        <v>23.14</v>
      </c>
      <c r="DB79">
        <v>0</v>
      </c>
    </row>
    <row r="80" spans="1:106" x14ac:dyDescent="0.35">
      <c r="A80">
        <f>ROW(Source!A43)</f>
        <v>43</v>
      </c>
      <c r="B80">
        <v>502564877</v>
      </c>
      <c r="C80">
        <v>502573302</v>
      </c>
      <c r="D80">
        <v>338009425</v>
      </c>
      <c r="E80">
        <v>1</v>
      </c>
      <c r="F80">
        <v>1</v>
      </c>
      <c r="G80">
        <v>1</v>
      </c>
      <c r="H80">
        <v>3</v>
      </c>
      <c r="I80" t="s">
        <v>424</v>
      </c>
      <c r="J80" t="s">
        <v>425</v>
      </c>
      <c r="K80" t="s">
        <v>426</v>
      </c>
      <c r="L80">
        <v>1339</v>
      </c>
      <c r="N80">
        <v>1007</v>
      </c>
      <c r="O80" t="s">
        <v>112</v>
      </c>
      <c r="P80" t="s">
        <v>112</v>
      </c>
      <c r="Q80">
        <v>1</v>
      </c>
      <c r="W80">
        <v>0</v>
      </c>
      <c r="X80">
        <v>-74926002</v>
      </c>
      <c r="Y80">
        <v>0.7</v>
      </c>
      <c r="AA80">
        <v>3949.3</v>
      </c>
      <c r="AB80">
        <v>0</v>
      </c>
      <c r="AC80">
        <v>0</v>
      </c>
      <c r="AD80">
        <v>0</v>
      </c>
      <c r="AE80">
        <v>730</v>
      </c>
      <c r="AF80">
        <v>0</v>
      </c>
      <c r="AG80">
        <v>0</v>
      </c>
      <c r="AH80">
        <v>0</v>
      </c>
      <c r="AI80">
        <v>5.41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0.7</v>
      </c>
      <c r="AV80">
        <v>0</v>
      </c>
      <c r="AW80">
        <v>2</v>
      </c>
      <c r="AX80">
        <v>502573312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Y80*Source!I43</f>
        <v>0.71662499999999996</v>
      </c>
      <c r="CY80">
        <f>AA80</f>
        <v>3949.3</v>
      </c>
      <c r="CZ80">
        <f>AE80</f>
        <v>730</v>
      </c>
      <c r="DA80">
        <f>AI80</f>
        <v>5.41</v>
      </c>
      <c r="DB80">
        <v>0</v>
      </c>
    </row>
    <row r="81" spans="1:106" x14ac:dyDescent="0.35">
      <c r="A81">
        <f>ROW(Source!A43)</f>
        <v>43</v>
      </c>
      <c r="B81">
        <v>502564877</v>
      </c>
      <c r="C81">
        <v>502573302</v>
      </c>
      <c r="D81">
        <v>338009637</v>
      </c>
      <c r="E81">
        <v>1</v>
      </c>
      <c r="F81">
        <v>1</v>
      </c>
      <c r="G81">
        <v>1</v>
      </c>
      <c r="H81">
        <v>3</v>
      </c>
      <c r="I81" t="s">
        <v>427</v>
      </c>
      <c r="J81" t="s">
        <v>428</v>
      </c>
      <c r="K81" t="s">
        <v>429</v>
      </c>
      <c r="L81">
        <v>1339</v>
      </c>
      <c r="N81">
        <v>1007</v>
      </c>
      <c r="O81" t="s">
        <v>112</v>
      </c>
      <c r="P81" t="s">
        <v>112</v>
      </c>
      <c r="Q81">
        <v>1</v>
      </c>
      <c r="W81">
        <v>0</v>
      </c>
      <c r="X81">
        <v>-364114852</v>
      </c>
      <c r="Y81">
        <v>0.8</v>
      </c>
      <c r="AA81">
        <v>3061.52</v>
      </c>
      <c r="AB81">
        <v>0</v>
      </c>
      <c r="AC81">
        <v>0</v>
      </c>
      <c r="AD81">
        <v>0</v>
      </c>
      <c r="AE81">
        <v>497</v>
      </c>
      <c r="AF81">
        <v>0</v>
      </c>
      <c r="AG81">
        <v>0</v>
      </c>
      <c r="AH81">
        <v>0</v>
      </c>
      <c r="AI81">
        <v>6.16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0.8</v>
      </c>
      <c r="AV81">
        <v>0</v>
      </c>
      <c r="AW81">
        <v>2</v>
      </c>
      <c r="AX81">
        <v>502573313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Y81*Source!I43</f>
        <v>0.81899999999999995</v>
      </c>
      <c r="CY81">
        <f>AA81</f>
        <v>3061.52</v>
      </c>
      <c r="CZ81">
        <f>AE81</f>
        <v>497</v>
      </c>
      <c r="DA81">
        <f>AI81</f>
        <v>6.16</v>
      </c>
      <c r="DB81">
        <v>0</v>
      </c>
    </row>
    <row r="82" spans="1:106" x14ac:dyDescent="0.35">
      <c r="A82">
        <f>ROW(Source!A43)</f>
        <v>43</v>
      </c>
      <c r="B82">
        <v>502564877</v>
      </c>
      <c r="C82">
        <v>502573302</v>
      </c>
      <c r="D82">
        <v>338011378</v>
      </c>
      <c r="E82">
        <v>1</v>
      </c>
      <c r="F82">
        <v>1</v>
      </c>
      <c r="G82">
        <v>1</v>
      </c>
      <c r="H82">
        <v>3</v>
      </c>
      <c r="I82" t="s">
        <v>95</v>
      </c>
      <c r="J82" t="s">
        <v>98</v>
      </c>
      <c r="K82" t="s">
        <v>96</v>
      </c>
      <c r="L82">
        <v>195242642</v>
      </c>
      <c r="N82">
        <v>1010</v>
      </c>
      <c r="O82" t="s">
        <v>97</v>
      </c>
      <c r="P82" t="s">
        <v>97</v>
      </c>
      <c r="Q82">
        <v>1</v>
      </c>
      <c r="W82">
        <v>0</v>
      </c>
      <c r="X82">
        <v>-1902898408</v>
      </c>
      <c r="Y82">
        <v>63.492063000000002</v>
      </c>
      <c r="AA82">
        <v>7483.41</v>
      </c>
      <c r="AB82">
        <v>0</v>
      </c>
      <c r="AC82">
        <v>0</v>
      </c>
      <c r="AD82">
        <v>0</v>
      </c>
      <c r="AE82">
        <v>1358.15</v>
      </c>
      <c r="AF82">
        <v>0</v>
      </c>
      <c r="AG82">
        <v>0</v>
      </c>
      <c r="AH82">
        <v>0</v>
      </c>
      <c r="AI82">
        <v>5.51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63.492063000000002</v>
      </c>
      <c r="AV82">
        <v>0</v>
      </c>
      <c r="AW82">
        <v>1</v>
      </c>
      <c r="AX82">
        <v>-1</v>
      </c>
      <c r="AY82">
        <v>0</v>
      </c>
      <c r="AZ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Y82*Source!I43</f>
        <v>64.999999496249998</v>
      </c>
      <c r="CY82">
        <f>AA82</f>
        <v>7483.41</v>
      </c>
      <c r="CZ82">
        <f>AE82</f>
        <v>1358.15</v>
      </c>
      <c r="DA82">
        <f>AI82</f>
        <v>5.51</v>
      </c>
      <c r="DB82">
        <v>0</v>
      </c>
    </row>
    <row r="83" spans="1:106" x14ac:dyDescent="0.35">
      <c r="A83">
        <f>ROW(Source!A45)</f>
        <v>45</v>
      </c>
      <c r="B83">
        <v>502564877</v>
      </c>
      <c r="C83">
        <v>502573358</v>
      </c>
      <c r="D83">
        <v>37776094</v>
      </c>
      <c r="E83">
        <v>1</v>
      </c>
      <c r="F83">
        <v>1</v>
      </c>
      <c r="G83">
        <v>1</v>
      </c>
      <c r="H83">
        <v>1</v>
      </c>
      <c r="I83" t="s">
        <v>341</v>
      </c>
      <c r="K83" t="s">
        <v>342</v>
      </c>
      <c r="L83">
        <v>1369</v>
      </c>
      <c r="N83">
        <v>1013</v>
      </c>
      <c r="O83" t="s">
        <v>325</v>
      </c>
      <c r="P83" t="s">
        <v>325</v>
      </c>
      <c r="Q83">
        <v>1</v>
      </c>
      <c r="W83">
        <v>0</v>
      </c>
      <c r="X83">
        <v>1415306217</v>
      </c>
      <c r="Y83">
        <v>179.8</v>
      </c>
      <c r="AA83">
        <v>0</v>
      </c>
      <c r="AB83">
        <v>0</v>
      </c>
      <c r="AC83">
        <v>0</v>
      </c>
      <c r="AD83">
        <v>8.31</v>
      </c>
      <c r="AE83">
        <v>0</v>
      </c>
      <c r="AF83">
        <v>0</v>
      </c>
      <c r="AG83">
        <v>0</v>
      </c>
      <c r="AH83">
        <v>8.31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179.8</v>
      </c>
      <c r="AV83">
        <v>1</v>
      </c>
      <c r="AW83">
        <v>2</v>
      </c>
      <c r="AX83">
        <v>502573364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Y83*Source!I45</f>
        <v>82.743960000000001</v>
      </c>
      <c r="CY83">
        <f>AD83</f>
        <v>8.31</v>
      </c>
      <c r="CZ83">
        <f>AH83</f>
        <v>8.31</v>
      </c>
      <c r="DA83">
        <f>AL83</f>
        <v>1</v>
      </c>
      <c r="DB83">
        <v>0</v>
      </c>
    </row>
    <row r="84" spans="1:106" x14ac:dyDescent="0.35">
      <c r="A84">
        <f>ROW(Source!A45)</f>
        <v>45</v>
      </c>
      <c r="B84">
        <v>502564877</v>
      </c>
      <c r="C84">
        <v>502573358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72</v>
      </c>
      <c r="K84" t="s">
        <v>326</v>
      </c>
      <c r="L84">
        <v>608254</v>
      </c>
      <c r="N84">
        <v>1013</v>
      </c>
      <c r="O84" t="s">
        <v>327</v>
      </c>
      <c r="P84" t="s">
        <v>327</v>
      </c>
      <c r="Q84">
        <v>1</v>
      </c>
      <c r="W84">
        <v>0</v>
      </c>
      <c r="X84">
        <v>-185737400</v>
      </c>
      <c r="Y84">
        <v>45.63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45.63</v>
      </c>
      <c r="AV84">
        <v>2</v>
      </c>
      <c r="AW84">
        <v>2</v>
      </c>
      <c r="AX84">
        <v>502573365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Y84*Source!I45</f>
        <v>20.998926000000001</v>
      </c>
      <c r="CY84">
        <f>AD84</f>
        <v>0</v>
      </c>
      <c r="CZ84">
        <f>AH84</f>
        <v>0</v>
      </c>
      <c r="DA84">
        <f>AL84</f>
        <v>1</v>
      </c>
      <c r="DB84">
        <v>0</v>
      </c>
    </row>
    <row r="85" spans="1:106" x14ac:dyDescent="0.35">
      <c r="A85">
        <f>ROW(Source!A45)</f>
        <v>45</v>
      </c>
      <c r="B85">
        <v>502564877</v>
      </c>
      <c r="C85">
        <v>502573358</v>
      </c>
      <c r="D85">
        <v>338037139</v>
      </c>
      <c r="E85">
        <v>1</v>
      </c>
      <c r="F85">
        <v>1</v>
      </c>
      <c r="G85">
        <v>1</v>
      </c>
      <c r="H85">
        <v>2</v>
      </c>
      <c r="I85" t="s">
        <v>388</v>
      </c>
      <c r="J85" t="s">
        <v>389</v>
      </c>
      <c r="K85" t="s">
        <v>390</v>
      </c>
      <c r="L85">
        <v>1368</v>
      </c>
      <c r="N85">
        <v>91022270</v>
      </c>
      <c r="O85" t="s">
        <v>331</v>
      </c>
      <c r="P85" t="s">
        <v>331</v>
      </c>
      <c r="Q85">
        <v>1</v>
      </c>
      <c r="W85">
        <v>0</v>
      </c>
      <c r="X85">
        <v>315863809</v>
      </c>
      <c r="Y85">
        <v>44.08</v>
      </c>
      <c r="AA85">
        <v>0</v>
      </c>
      <c r="AB85">
        <v>629.03</v>
      </c>
      <c r="AC85">
        <v>248.68</v>
      </c>
      <c r="AD85">
        <v>0</v>
      </c>
      <c r="AE85">
        <v>0</v>
      </c>
      <c r="AF85">
        <v>46.56</v>
      </c>
      <c r="AG85">
        <v>10.06</v>
      </c>
      <c r="AH85">
        <v>0</v>
      </c>
      <c r="AI85">
        <v>1</v>
      </c>
      <c r="AJ85">
        <v>13.51</v>
      </c>
      <c r="AK85">
        <v>24.72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44.08</v>
      </c>
      <c r="AV85">
        <v>0</v>
      </c>
      <c r="AW85">
        <v>2</v>
      </c>
      <c r="AX85">
        <v>502573366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Y85*Source!I45</f>
        <v>20.285615999999997</v>
      </c>
      <c r="CY85">
        <f>AB85</f>
        <v>629.03</v>
      </c>
      <c r="CZ85">
        <f>AF85</f>
        <v>46.56</v>
      </c>
      <c r="DA85">
        <f>AJ85</f>
        <v>13.51</v>
      </c>
      <c r="DB85">
        <v>0</v>
      </c>
    </row>
    <row r="86" spans="1:106" x14ac:dyDescent="0.35">
      <c r="A86">
        <f>ROW(Source!A45)</f>
        <v>45</v>
      </c>
      <c r="B86">
        <v>502564877</v>
      </c>
      <c r="C86">
        <v>502573358</v>
      </c>
      <c r="D86">
        <v>338037611</v>
      </c>
      <c r="E86">
        <v>1</v>
      </c>
      <c r="F86">
        <v>1</v>
      </c>
      <c r="G86">
        <v>1</v>
      </c>
      <c r="H86">
        <v>2</v>
      </c>
      <c r="I86" t="s">
        <v>349</v>
      </c>
      <c r="J86" t="s">
        <v>350</v>
      </c>
      <c r="K86" t="s">
        <v>351</v>
      </c>
      <c r="L86">
        <v>1368</v>
      </c>
      <c r="N86">
        <v>91022270</v>
      </c>
      <c r="O86" t="s">
        <v>331</v>
      </c>
      <c r="P86" t="s">
        <v>331</v>
      </c>
      <c r="Q86">
        <v>1</v>
      </c>
      <c r="W86">
        <v>0</v>
      </c>
      <c r="X86">
        <v>-1754144589</v>
      </c>
      <c r="Y86">
        <v>1.55</v>
      </c>
      <c r="AA86">
        <v>0</v>
      </c>
      <c r="AB86">
        <v>867.15</v>
      </c>
      <c r="AC86">
        <v>333.72</v>
      </c>
      <c r="AD86">
        <v>0</v>
      </c>
      <c r="AE86">
        <v>0</v>
      </c>
      <c r="AF86">
        <v>123</v>
      </c>
      <c r="AG86">
        <v>13.5</v>
      </c>
      <c r="AH86">
        <v>0</v>
      </c>
      <c r="AI86">
        <v>1</v>
      </c>
      <c r="AJ86">
        <v>7.05</v>
      </c>
      <c r="AK86">
        <v>24.72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1.55</v>
      </c>
      <c r="AV86">
        <v>0</v>
      </c>
      <c r="AW86">
        <v>2</v>
      </c>
      <c r="AX86">
        <v>502573367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Y86*Source!I45</f>
        <v>0.71331</v>
      </c>
      <c r="CY86">
        <f>AB86</f>
        <v>867.15</v>
      </c>
      <c r="CZ86">
        <f>AF86</f>
        <v>123</v>
      </c>
      <c r="DA86">
        <f>AJ86</f>
        <v>7.05</v>
      </c>
      <c r="DB86">
        <v>0</v>
      </c>
    </row>
    <row r="87" spans="1:106" x14ac:dyDescent="0.35">
      <c r="A87">
        <f>ROW(Source!A45)</f>
        <v>45</v>
      </c>
      <c r="B87">
        <v>502564877</v>
      </c>
      <c r="C87">
        <v>502573358</v>
      </c>
      <c r="D87">
        <v>338038962</v>
      </c>
      <c r="E87">
        <v>1</v>
      </c>
      <c r="F87">
        <v>1</v>
      </c>
      <c r="G87">
        <v>1</v>
      </c>
      <c r="H87">
        <v>2</v>
      </c>
      <c r="I87" t="s">
        <v>391</v>
      </c>
      <c r="J87" t="s">
        <v>392</v>
      </c>
      <c r="K87" t="s">
        <v>393</v>
      </c>
      <c r="L87">
        <v>1368</v>
      </c>
      <c r="N87">
        <v>91022270</v>
      </c>
      <c r="O87" t="s">
        <v>331</v>
      </c>
      <c r="P87" t="s">
        <v>331</v>
      </c>
      <c r="Q87">
        <v>1</v>
      </c>
      <c r="W87">
        <v>0</v>
      </c>
      <c r="X87">
        <v>-2071518695</v>
      </c>
      <c r="Y87">
        <v>88.16</v>
      </c>
      <c r="AA87">
        <v>0</v>
      </c>
      <c r="AB87">
        <v>5.0599999999999996</v>
      </c>
      <c r="AC87">
        <v>0</v>
      </c>
      <c r="AD87">
        <v>0</v>
      </c>
      <c r="AE87">
        <v>0</v>
      </c>
      <c r="AF87">
        <v>1.53</v>
      </c>
      <c r="AG87">
        <v>0</v>
      </c>
      <c r="AH87">
        <v>0</v>
      </c>
      <c r="AI87">
        <v>1</v>
      </c>
      <c r="AJ87">
        <v>3.31</v>
      </c>
      <c r="AK87">
        <v>24.72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88.16</v>
      </c>
      <c r="AV87">
        <v>0</v>
      </c>
      <c r="AW87">
        <v>2</v>
      </c>
      <c r="AX87">
        <v>502573368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Y87*Source!I45</f>
        <v>40.571231999999995</v>
      </c>
      <c r="CY87">
        <f>AB87</f>
        <v>5.0599999999999996</v>
      </c>
      <c r="CZ87">
        <f>AF87</f>
        <v>1.53</v>
      </c>
      <c r="DA87">
        <f>AJ87</f>
        <v>3.31</v>
      </c>
      <c r="DB87">
        <v>0</v>
      </c>
    </row>
    <row r="88" spans="1:106" x14ac:dyDescent="0.35">
      <c r="A88">
        <f>ROW(Source!A46)</f>
        <v>46</v>
      </c>
      <c r="B88">
        <v>502564877</v>
      </c>
      <c r="C88">
        <v>502573369</v>
      </c>
      <c r="D88">
        <v>37773610</v>
      </c>
      <c r="E88">
        <v>1</v>
      </c>
      <c r="F88">
        <v>1</v>
      </c>
      <c r="G88">
        <v>1</v>
      </c>
      <c r="H88">
        <v>1</v>
      </c>
      <c r="I88" t="s">
        <v>394</v>
      </c>
      <c r="K88" t="s">
        <v>395</v>
      </c>
      <c r="L88">
        <v>1369</v>
      </c>
      <c r="N88">
        <v>1013</v>
      </c>
      <c r="O88" t="s">
        <v>325</v>
      </c>
      <c r="P88" t="s">
        <v>325</v>
      </c>
      <c r="Q88">
        <v>1</v>
      </c>
      <c r="W88">
        <v>0</v>
      </c>
      <c r="X88">
        <v>-886480961</v>
      </c>
      <c r="Y88">
        <v>18.077999999999999</v>
      </c>
      <c r="AA88">
        <v>0</v>
      </c>
      <c r="AB88">
        <v>0</v>
      </c>
      <c r="AC88">
        <v>0</v>
      </c>
      <c r="AD88">
        <v>8.02</v>
      </c>
      <c r="AE88">
        <v>0</v>
      </c>
      <c r="AF88">
        <v>0</v>
      </c>
      <c r="AG88">
        <v>0</v>
      </c>
      <c r="AH88">
        <v>8.02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15.72</v>
      </c>
      <c r="AU88" t="s">
        <v>64</v>
      </c>
      <c r="AV88">
        <v>1</v>
      </c>
      <c r="AW88">
        <v>2</v>
      </c>
      <c r="AX88">
        <v>502573378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Y88*Source!I46</f>
        <v>3.1998059999999997</v>
      </c>
      <c r="CY88">
        <f>AD88</f>
        <v>8.02</v>
      </c>
      <c r="CZ88">
        <f>AH88</f>
        <v>8.02</v>
      </c>
      <c r="DA88">
        <f>AL88</f>
        <v>1</v>
      </c>
      <c r="DB88">
        <v>0</v>
      </c>
    </row>
    <row r="89" spans="1:106" x14ac:dyDescent="0.35">
      <c r="A89">
        <f>ROW(Source!A46)</f>
        <v>46</v>
      </c>
      <c r="B89">
        <v>502564877</v>
      </c>
      <c r="C89">
        <v>502573369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72</v>
      </c>
      <c r="K89" t="s">
        <v>326</v>
      </c>
      <c r="L89">
        <v>608254</v>
      </c>
      <c r="N89">
        <v>1013</v>
      </c>
      <c r="O89" t="s">
        <v>327</v>
      </c>
      <c r="P89" t="s">
        <v>327</v>
      </c>
      <c r="Q89">
        <v>1</v>
      </c>
      <c r="W89">
        <v>0</v>
      </c>
      <c r="X89">
        <v>-185737400</v>
      </c>
      <c r="Y89">
        <v>17.350000000000001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13.88</v>
      </c>
      <c r="AU89" t="s">
        <v>63</v>
      </c>
      <c r="AV89">
        <v>2</v>
      </c>
      <c r="AW89">
        <v>2</v>
      </c>
      <c r="AX89">
        <v>502573379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Y89*Source!I46</f>
        <v>3.0709500000000003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35">
      <c r="A90">
        <f>ROW(Source!A46)</f>
        <v>46</v>
      </c>
      <c r="B90">
        <v>502564877</v>
      </c>
      <c r="C90">
        <v>502573369</v>
      </c>
      <c r="D90">
        <v>338036908</v>
      </c>
      <c r="E90">
        <v>1</v>
      </c>
      <c r="F90">
        <v>1</v>
      </c>
      <c r="G90">
        <v>1</v>
      </c>
      <c r="H90">
        <v>2</v>
      </c>
      <c r="I90" t="s">
        <v>343</v>
      </c>
      <c r="J90" t="s">
        <v>344</v>
      </c>
      <c r="K90" t="s">
        <v>345</v>
      </c>
      <c r="L90">
        <v>1368</v>
      </c>
      <c r="N90">
        <v>91022270</v>
      </c>
      <c r="O90" t="s">
        <v>331</v>
      </c>
      <c r="P90" t="s">
        <v>331</v>
      </c>
      <c r="Q90">
        <v>1</v>
      </c>
      <c r="W90">
        <v>0</v>
      </c>
      <c r="X90">
        <v>1549832887</v>
      </c>
      <c r="Y90">
        <v>5.3624999999999998</v>
      </c>
      <c r="AA90">
        <v>0</v>
      </c>
      <c r="AB90">
        <v>681.25</v>
      </c>
      <c r="AC90">
        <v>248.68</v>
      </c>
      <c r="AD90">
        <v>0</v>
      </c>
      <c r="AE90">
        <v>0</v>
      </c>
      <c r="AF90">
        <v>99.89</v>
      </c>
      <c r="AG90">
        <v>10.06</v>
      </c>
      <c r="AH90">
        <v>0</v>
      </c>
      <c r="AI90">
        <v>1</v>
      </c>
      <c r="AJ90">
        <v>6.82</v>
      </c>
      <c r="AK90">
        <v>24.72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4.29</v>
      </c>
      <c r="AU90" t="s">
        <v>63</v>
      </c>
      <c r="AV90">
        <v>0</v>
      </c>
      <c r="AW90">
        <v>2</v>
      </c>
      <c r="AX90">
        <v>502573380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Y90*Source!I46</f>
        <v>0.94916249999999991</v>
      </c>
      <c r="CY90">
        <f>AB90</f>
        <v>681.25</v>
      </c>
      <c r="CZ90">
        <f>AF90</f>
        <v>99.89</v>
      </c>
      <c r="DA90">
        <f>AJ90</f>
        <v>6.82</v>
      </c>
      <c r="DB90">
        <v>0</v>
      </c>
    </row>
    <row r="91" spans="1:106" x14ac:dyDescent="0.35">
      <c r="A91">
        <f>ROW(Source!A46)</f>
        <v>46</v>
      </c>
      <c r="B91">
        <v>502564877</v>
      </c>
      <c r="C91">
        <v>502573369</v>
      </c>
      <c r="D91">
        <v>338037611</v>
      </c>
      <c r="E91">
        <v>1</v>
      </c>
      <c r="F91">
        <v>1</v>
      </c>
      <c r="G91">
        <v>1</v>
      </c>
      <c r="H91">
        <v>2</v>
      </c>
      <c r="I91" t="s">
        <v>349</v>
      </c>
      <c r="J91" t="s">
        <v>350</v>
      </c>
      <c r="K91" t="s">
        <v>351</v>
      </c>
      <c r="L91">
        <v>1368</v>
      </c>
      <c r="N91">
        <v>91022270</v>
      </c>
      <c r="O91" t="s">
        <v>331</v>
      </c>
      <c r="P91" t="s">
        <v>331</v>
      </c>
      <c r="Q91">
        <v>1</v>
      </c>
      <c r="W91">
        <v>0</v>
      </c>
      <c r="X91">
        <v>-1754144589</v>
      </c>
      <c r="Y91">
        <v>2.2124999999999999</v>
      </c>
      <c r="AA91">
        <v>0</v>
      </c>
      <c r="AB91">
        <v>867.15</v>
      </c>
      <c r="AC91">
        <v>333.72</v>
      </c>
      <c r="AD91">
        <v>0</v>
      </c>
      <c r="AE91">
        <v>0</v>
      </c>
      <c r="AF91">
        <v>123</v>
      </c>
      <c r="AG91">
        <v>13.5</v>
      </c>
      <c r="AH91">
        <v>0</v>
      </c>
      <c r="AI91">
        <v>1</v>
      </c>
      <c r="AJ91">
        <v>7.05</v>
      </c>
      <c r="AK91">
        <v>24.72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1.77</v>
      </c>
      <c r="AU91" t="s">
        <v>63</v>
      </c>
      <c r="AV91">
        <v>0</v>
      </c>
      <c r="AW91">
        <v>2</v>
      </c>
      <c r="AX91">
        <v>502573381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Y91*Source!I46</f>
        <v>0.39161249999999997</v>
      </c>
      <c r="CY91">
        <f>AB91</f>
        <v>867.15</v>
      </c>
      <c r="CZ91">
        <f>AF91</f>
        <v>123</v>
      </c>
      <c r="DA91">
        <f>AJ91</f>
        <v>7.05</v>
      </c>
      <c r="DB91">
        <v>0</v>
      </c>
    </row>
    <row r="92" spans="1:106" x14ac:dyDescent="0.35">
      <c r="A92">
        <f>ROW(Source!A46)</f>
        <v>46</v>
      </c>
      <c r="B92">
        <v>502564877</v>
      </c>
      <c r="C92">
        <v>502573369</v>
      </c>
      <c r="D92">
        <v>338037661</v>
      </c>
      <c r="E92">
        <v>1</v>
      </c>
      <c r="F92">
        <v>1</v>
      </c>
      <c r="G92">
        <v>1</v>
      </c>
      <c r="H92">
        <v>2</v>
      </c>
      <c r="I92" t="s">
        <v>396</v>
      </c>
      <c r="J92" t="s">
        <v>397</v>
      </c>
      <c r="K92" t="s">
        <v>398</v>
      </c>
      <c r="L92">
        <v>1368</v>
      </c>
      <c r="N92">
        <v>91022270</v>
      </c>
      <c r="O92" t="s">
        <v>331</v>
      </c>
      <c r="P92" t="s">
        <v>331</v>
      </c>
      <c r="Q92">
        <v>1</v>
      </c>
      <c r="W92">
        <v>0</v>
      </c>
      <c r="X92">
        <v>1606831026</v>
      </c>
      <c r="Y92">
        <v>8.85</v>
      </c>
      <c r="AA92">
        <v>0</v>
      </c>
      <c r="AB92">
        <v>1013.57</v>
      </c>
      <c r="AC92">
        <v>355.97</v>
      </c>
      <c r="AD92">
        <v>0</v>
      </c>
      <c r="AE92">
        <v>0</v>
      </c>
      <c r="AF92">
        <v>206.01</v>
      </c>
      <c r="AG92">
        <v>14.4</v>
      </c>
      <c r="AH92">
        <v>0</v>
      </c>
      <c r="AI92">
        <v>1</v>
      </c>
      <c r="AJ92">
        <v>4.92</v>
      </c>
      <c r="AK92">
        <v>24.72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7.08</v>
      </c>
      <c r="AU92" t="s">
        <v>63</v>
      </c>
      <c r="AV92">
        <v>0</v>
      </c>
      <c r="AW92">
        <v>2</v>
      </c>
      <c r="AX92">
        <v>502573382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Y92*Source!I46</f>
        <v>1.5664499999999999</v>
      </c>
      <c r="CY92">
        <f>AB92</f>
        <v>1013.57</v>
      </c>
      <c r="CZ92">
        <f>AF92</f>
        <v>206.01</v>
      </c>
      <c r="DA92">
        <f>AJ92</f>
        <v>4.92</v>
      </c>
      <c r="DB92">
        <v>0</v>
      </c>
    </row>
    <row r="93" spans="1:106" x14ac:dyDescent="0.35">
      <c r="A93">
        <f>ROW(Source!A46)</f>
        <v>46</v>
      </c>
      <c r="B93">
        <v>502564877</v>
      </c>
      <c r="C93">
        <v>502573369</v>
      </c>
      <c r="D93">
        <v>338037719</v>
      </c>
      <c r="E93">
        <v>1</v>
      </c>
      <c r="F93">
        <v>1</v>
      </c>
      <c r="G93">
        <v>1</v>
      </c>
      <c r="H93">
        <v>2</v>
      </c>
      <c r="I93" t="s">
        <v>399</v>
      </c>
      <c r="J93" t="s">
        <v>400</v>
      </c>
      <c r="K93" t="s">
        <v>401</v>
      </c>
      <c r="L93">
        <v>1368</v>
      </c>
      <c r="N93">
        <v>91022270</v>
      </c>
      <c r="O93" t="s">
        <v>331</v>
      </c>
      <c r="P93" t="s">
        <v>331</v>
      </c>
      <c r="Q93">
        <v>1</v>
      </c>
      <c r="W93">
        <v>0</v>
      </c>
      <c r="X93">
        <v>-962845729</v>
      </c>
      <c r="Y93">
        <v>0.92500000000000004</v>
      </c>
      <c r="AA93">
        <v>0</v>
      </c>
      <c r="AB93">
        <v>686.4</v>
      </c>
      <c r="AC93">
        <v>286.75</v>
      </c>
      <c r="AD93">
        <v>0</v>
      </c>
      <c r="AE93">
        <v>0</v>
      </c>
      <c r="AF93">
        <v>110</v>
      </c>
      <c r="AG93">
        <v>11.6</v>
      </c>
      <c r="AH93">
        <v>0</v>
      </c>
      <c r="AI93">
        <v>1</v>
      </c>
      <c r="AJ93">
        <v>6.24</v>
      </c>
      <c r="AK93">
        <v>24.72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0.74</v>
      </c>
      <c r="AU93" t="s">
        <v>63</v>
      </c>
      <c r="AV93">
        <v>0</v>
      </c>
      <c r="AW93">
        <v>2</v>
      </c>
      <c r="AX93">
        <v>502573383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Y93*Source!I46</f>
        <v>0.16372500000000001</v>
      </c>
      <c r="CY93">
        <f>AB93</f>
        <v>686.4</v>
      </c>
      <c r="CZ93">
        <f>AF93</f>
        <v>110</v>
      </c>
      <c r="DA93">
        <f>AJ93</f>
        <v>6.24</v>
      </c>
      <c r="DB93">
        <v>0</v>
      </c>
    </row>
    <row r="94" spans="1:106" x14ac:dyDescent="0.35">
      <c r="A94">
        <f>ROW(Source!A46)</f>
        <v>46</v>
      </c>
      <c r="B94">
        <v>502564877</v>
      </c>
      <c r="C94">
        <v>502573369</v>
      </c>
      <c r="D94">
        <v>338014037</v>
      </c>
      <c r="E94">
        <v>1</v>
      </c>
      <c r="F94">
        <v>1</v>
      </c>
      <c r="G94">
        <v>1</v>
      </c>
      <c r="H94">
        <v>3</v>
      </c>
      <c r="I94" t="s">
        <v>110</v>
      </c>
      <c r="J94" t="s">
        <v>113</v>
      </c>
      <c r="K94" t="s">
        <v>111</v>
      </c>
      <c r="L94">
        <v>1339</v>
      </c>
      <c r="N94">
        <v>1007</v>
      </c>
      <c r="O94" t="s">
        <v>112</v>
      </c>
      <c r="P94" t="s">
        <v>112</v>
      </c>
      <c r="Q94">
        <v>1</v>
      </c>
      <c r="W94">
        <v>0</v>
      </c>
      <c r="X94">
        <v>-1147251145</v>
      </c>
      <c r="Y94">
        <v>110</v>
      </c>
      <c r="AA94">
        <v>432.69</v>
      </c>
      <c r="AB94">
        <v>0</v>
      </c>
      <c r="AC94">
        <v>0</v>
      </c>
      <c r="AD94">
        <v>0</v>
      </c>
      <c r="AE94">
        <v>55.26</v>
      </c>
      <c r="AF94">
        <v>0</v>
      </c>
      <c r="AG94">
        <v>0</v>
      </c>
      <c r="AH94">
        <v>0</v>
      </c>
      <c r="AI94">
        <v>7.83</v>
      </c>
      <c r="AJ94">
        <v>1</v>
      </c>
      <c r="AK94">
        <v>1</v>
      </c>
      <c r="AL94">
        <v>1</v>
      </c>
      <c r="AN94">
        <v>1</v>
      </c>
      <c r="AO94">
        <v>0</v>
      </c>
      <c r="AP94">
        <v>0</v>
      </c>
      <c r="AQ94">
        <v>0</v>
      </c>
      <c r="AR94">
        <v>0</v>
      </c>
      <c r="AT94">
        <v>110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Y94*Source!I46</f>
        <v>19.47</v>
      </c>
      <c r="CY94">
        <f>AA94</f>
        <v>432.69</v>
      </c>
      <c r="CZ94">
        <f>AE94</f>
        <v>55.26</v>
      </c>
      <c r="DA94">
        <f>AI94</f>
        <v>7.83</v>
      </c>
      <c r="DB94">
        <v>0</v>
      </c>
    </row>
    <row r="95" spans="1:106" x14ac:dyDescent="0.35">
      <c r="A95">
        <f>ROW(Source!A46)</f>
        <v>46</v>
      </c>
      <c r="B95">
        <v>502564877</v>
      </c>
      <c r="C95">
        <v>502573369</v>
      </c>
      <c r="D95">
        <v>338014469</v>
      </c>
      <c r="E95">
        <v>1</v>
      </c>
      <c r="F95">
        <v>1</v>
      </c>
      <c r="G95">
        <v>1</v>
      </c>
      <c r="H95">
        <v>3</v>
      </c>
      <c r="I95" t="s">
        <v>402</v>
      </c>
      <c r="J95" t="s">
        <v>403</v>
      </c>
      <c r="K95" t="s">
        <v>404</v>
      </c>
      <c r="L95">
        <v>1339</v>
      </c>
      <c r="N95">
        <v>1007</v>
      </c>
      <c r="O95" t="s">
        <v>112</v>
      </c>
      <c r="P95" t="s">
        <v>112</v>
      </c>
      <c r="Q95">
        <v>1</v>
      </c>
      <c r="W95">
        <v>0</v>
      </c>
      <c r="X95">
        <v>619799737</v>
      </c>
      <c r="Y95">
        <v>5</v>
      </c>
      <c r="AA95">
        <v>16.59</v>
      </c>
      <c r="AB95">
        <v>0</v>
      </c>
      <c r="AC95">
        <v>0</v>
      </c>
      <c r="AD95">
        <v>0</v>
      </c>
      <c r="AE95">
        <v>2.44</v>
      </c>
      <c r="AF95">
        <v>0</v>
      </c>
      <c r="AG95">
        <v>0</v>
      </c>
      <c r="AH95">
        <v>0</v>
      </c>
      <c r="AI95">
        <v>6.8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5</v>
      </c>
      <c r="AV95">
        <v>0</v>
      </c>
      <c r="AW95">
        <v>2</v>
      </c>
      <c r="AX95">
        <v>502573385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Y95*Source!I46</f>
        <v>0.88500000000000001</v>
      </c>
      <c r="CY95">
        <f>AA95</f>
        <v>16.59</v>
      </c>
      <c r="CZ95">
        <f>AE95</f>
        <v>2.44</v>
      </c>
      <c r="DA95">
        <f>AI95</f>
        <v>6.8</v>
      </c>
      <c r="DB95">
        <v>0</v>
      </c>
    </row>
    <row r="96" spans="1:106" x14ac:dyDescent="0.35">
      <c r="A96">
        <f>ROW(Source!A48)</f>
        <v>48</v>
      </c>
      <c r="B96">
        <v>502564877</v>
      </c>
      <c r="C96">
        <v>502573387</v>
      </c>
      <c r="D96">
        <v>37775544</v>
      </c>
      <c r="E96">
        <v>1</v>
      </c>
      <c r="F96">
        <v>1</v>
      </c>
      <c r="G96">
        <v>1</v>
      </c>
      <c r="H96">
        <v>1</v>
      </c>
      <c r="I96" t="s">
        <v>405</v>
      </c>
      <c r="K96" t="s">
        <v>406</v>
      </c>
      <c r="L96">
        <v>1369</v>
      </c>
      <c r="N96">
        <v>1013</v>
      </c>
      <c r="O96" t="s">
        <v>325</v>
      </c>
      <c r="P96" t="s">
        <v>325</v>
      </c>
      <c r="Q96">
        <v>1</v>
      </c>
      <c r="W96">
        <v>0</v>
      </c>
      <c r="X96">
        <v>-932636904</v>
      </c>
      <c r="Y96">
        <v>27.8185</v>
      </c>
      <c r="AA96">
        <v>0</v>
      </c>
      <c r="AB96">
        <v>0</v>
      </c>
      <c r="AC96">
        <v>0</v>
      </c>
      <c r="AD96">
        <v>8.09</v>
      </c>
      <c r="AE96">
        <v>0</v>
      </c>
      <c r="AF96">
        <v>0</v>
      </c>
      <c r="AG96">
        <v>0</v>
      </c>
      <c r="AH96">
        <v>8.09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24.19</v>
      </c>
      <c r="AU96" t="s">
        <v>64</v>
      </c>
      <c r="AV96">
        <v>1</v>
      </c>
      <c r="AW96">
        <v>2</v>
      </c>
      <c r="AX96">
        <v>502573397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Y96*Source!I48</f>
        <v>3.6998605000000002</v>
      </c>
      <c r="CY96">
        <f>AD96</f>
        <v>8.09</v>
      </c>
      <c r="CZ96">
        <f>AH96</f>
        <v>8.09</v>
      </c>
      <c r="DA96">
        <f>AL96</f>
        <v>1</v>
      </c>
      <c r="DB96">
        <v>0</v>
      </c>
    </row>
    <row r="97" spans="1:106" x14ac:dyDescent="0.35">
      <c r="A97">
        <f>ROW(Source!A48)</f>
        <v>48</v>
      </c>
      <c r="B97">
        <v>502564877</v>
      </c>
      <c r="C97">
        <v>502573387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72</v>
      </c>
      <c r="K97" t="s">
        <v>326</v>
      </c>
      <c r="L97">
        <v>608254</v>
      </c>
      <c r="N97">
        <v>1013</v>
      </c>
      <c r="O97" t="s">
        <v>327</v>
      </c>
      <c r="P97" t="s">
        <v>327</v>
      </c>
      <c r="Q97">
        <v>1</v>
      </c>
      <c r="W97">
        <v>0</v>
      </c>
      <c r="X97">
        <v>-185737400</v>
      </c>
      <c r="Y97">
        <v>25.75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20.6</v>
      </c>
      <c r="AU97" t="s">
        <v>63</v>
      </c>
      <c r="AV97">
        <v>2</v>
      </c>
      <c r="AW97">
        <v>2</v>
      </c>
      <c r="AX97">
        <v>502573398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Y97*Source!I48</f>
        <v>3.4247500000000004</v>
      </c>
      <c r="CY97">
        <f>AD97</f>
        <v>0</v>
      </c>
      <c r="CZ97">
        <f>AH97</f>
        <v>0</v>
      </c>
      <c r="DA97">
        <f>AL97</f>
        <v>1</v>
      </c>
      <c r="DB97">
        <v>0</v>
      </c>
    </row>
    <row r="98" spans="1:106" x14ac:dyDescent="0.35">
      <c r="A98">
        <f>ROW(Source!A48)</f>
        <v>48</v>
      </c>
      <c r="B98">
        <v>502564877</v>
      </c>
      <c r="C98">
        <v>502573387</v>
      </c>
      <c r="D98">
        <v>338036908</v>
      </c>
      <c r="E98">
        <v>1</v>
      </c>
      <c r="F98">
        <v>1</v>
      </c>
      <c r="G98">
        <v>1</v>
      </c>
      <c r="H98">
        <v>2</v>
      </c>
      <c r="I98" t="s">
        <v>343</v>
      </c>
      <c r="J98" t="s">
        <v>344</v>
      </c>
      <c r="K98" t="s">
        <v>345</v>
      </c>
      <c r="L98">
        <v>1368</v>
      </c>
      <c r="N98">
        <v>91022270</v>
      </c>
      <c r="O98" t="s">
        <v>331</v>
      </c>
      <c r="P98" t="s">
        <v>331</v>
      </c>
      <c r="Q98">
        <v>1</v>
      </c>
      <c r="W98">
        <v>0</v>
      </c>
      <c r="X98">
        <v>1549832887</v>
      </c>
      <c r="Y98">
        <v>3.0750000000000002</v>
      </c>
      <c r="AA98">
        <v>0</v>
      </c>
      <c r="AB98">
        <v>681.25</v>
      </c>
      <c r="AC98">
        <v>248.68</v>
      </c>
      <c r="AD98">
        <v>0</v>
      </c>
      <c r="AE98">
        <v>0</v>
      </c>
      <c r="AF98">
        <v>99.89</v>
      </c>
      <c r="AG98">
        <v>10.06</v>
      </c>
      <c r="AH98">
        <v>0</v>
      </c>
      <c r="AI98">
        <v>1</v>
      </c>
      <c r="AJ98">
        <v>6.82</v>
      </c>
      <c r="AK98">
        <v>24.72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2.46</v>
      </c>
      <c r="AU98" t="s">
        <v>63</v>
      </c>
      <c r="AV98">
        <v>0</v>
      </c>
      <c r="AW98">
        <v>2</v>
      </c>
      <c r="AX98">
        <v>502573399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Y98*Source!I48</f>
        <v>0.40897500000000003</v>
      </c>
      <c r="CY98">
        <f>AB98</f>
        <v>681.25</v>
      </c>
      <c r="CZ98">
        <f>AF98</f>
        <v>99.89</v>
      </c>
      <c r="DA98">
        <f>AJ98</f>
        <v>6.82</v>
      </c>
      <c r="DB98">
        <v>0</v>
      </c>
    </row>
    <row r="99" spans="1:106" x14ac:dyDescent="0.35">
      <c r="A99">
        <f>ROW(Source!A48)</f>
        <v>48</v>
      </c>
      <c r="B99">
        <v>502564877</v>
      </c>
      <c r="C99">
        <v>502573387</v>
      </c>
      <c r="D99">
        <v>338037300</v>
      </c>
      <c r="E99">
        <v>1</v>
      </c>
      <c r="F99">
        <v>1</v>
      </c>
      <c r="G99">
        <v>1</v>
      </c>
      <c r="H99">
        <v>2</v>
      </c>
      <c r="I99" t="s">
        <v>332</v>
      </c>
      <c r="J99" t="s">
        <v>333</v>
      </c>
      <c r="K99" t="s">
        <v>334</v>
      </c>
      <c r="L99">
        <v>1368</v>
      </c>
      <c r="N99">
        <v>91022270</v>
      </c>
      <c r="O99" t="s">
        <v>331</v>
      </c>
      <c r="P99" t="s">
        <v>331</v>
      </c>
      <c r="Q99">
        <v>1</v>
      </c>
      <c r="W99">
        <v>0</v>
      </c>
      <c r="X99">
        <v>-229935220</v>
      </c>
      <c r="Y99">
        <v>3.2374999999999998</v>
      </c>
      <c r="AA99">
        <v>0</v>
      </c>
      <c r="AB99">
        <v>751.29</v>
      </c>
      <c r="AC99">
        <v>333.72</v>
      </c>
      <c r="AD99">
        <v>0</v>
      </c>
      <c r="AE99">
        <v>0</v>
      </c>
      <c r="AF99">
        <v>80.010000000000005</v>
      </c>
      <c r="AG99">
        <v>13.5</v>
      </c>
      <c r="AH99">
        <v>0</v>
      </c>
      <c r="AI99">
        <v>1</v>
      </c>
      <c r="AJ99">
        <v>9.39</v>
      </c>
      <c r="AK99">
        <v>24.72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2.59</v>
      </c>
      <c r="AU99" t="s">
        <v>63</v>
      </c>
      <c r="AV99">
        <v>0</v>
      </c>
      <c r="AW99">
        <v>2</v>
      </c>
      <c r="AX99">
        <v>502573400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Y99*Source!I48</f>
        <v>0.43058750000000001</v>
      </c>
      <c r="CY99">
        <f>AB99</f>
        <v>751.29</v>
      </c>
      <c r="CZ99">
        <f>AF99</f>
        <v>80.010000000000005</v>
      </c>
      <c r="DA99">
        <f>AJ99</f>
        <v>9.39</v>
      </c>
      <c r="DB99">
        <v>0</v>
      </c>
    </row>
    <row r="100" spans="1:106" x14ac:dyDescent="0.35">
      <c r="A100">
        <f>ROW(Source!A48)</f>
        <v>48</v>
      </c>
      <c r="B100">
        <v>502564877</v>
      </c>
      <c r="C100">
        <v>502573387</v>
      </c>
      <c r="D100">
        <v>338037611</v>
      </c>
      <c r="E100">
        <v>1</v>
      </c>
      <c r="F100">
        <v>1</v>
      </c>
      <c r="G100">
        <v>1</v>
      </c>
      <c r="H100">
        <v>2</v>
      </c>
      <c r="I100" t="s">
        <v>349</v>
      </c>
      <c r="J100" t="s">
        <v>350</v>
      </c>
      <c r="K100" t="s">
        <v>351</v>
      </c>
      <c r="L100">
        <v>1368</v>
      </c>
      <c r="N100">
        <v>91022270</v>
      </c>
      <c r="O100" t="s">
        <v>331</v>
      </c>
      <c r="P100" t="s">
        <v>331</v>
      </c>
      <c r="Q100">
        <v>1</v>
      </c>
      <c r="W100">
        <v>0</v>
      </c>
      <c r="X100">
        <v>-1754144589</v>
      </c>
      <c r="Y100">
        <v>2.875</v>
      </c>
      <c r="AA100">
        <v>0</v>
      </c>
      <c r="AB100">
        <v>867.15</v>
      </c>
      <c r="AC100">
        <v>333.72</v>
      </c>
      <c r="AD100">
        <v>0</v>
      </c>
      <c r="AE100">
        <v>0</v>
      </c>
      <c r="AF100">
        <v>123</v>
      </c>
      <c r="AG100">
        <v>13.5</v>
      </c>
      <c r="AH100">
        <v>0</v>
      </c>
      <c r="AI100">
        <v>1</v>
      </c>
      <c r="AJ100">
        <v>7.05</v>
      </c>
      <c r="AK100">
        <v>24.72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2.2999999999999998</v>
      </c>
      <c r="AU100" t="s">
        <v>63</v>
      </c>
      <c r="AV100">
        <v>0</v>
      </c>
      <c r="AW100">
        <v>2</v>
      </c>
      <c r="AX100">
        <v>502573401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Y100*Source!I48</f>
        <v>0.38237500000000002</v>
      </c>
      <c r="CY100">
        <f>AB100</f>
        <v>867.15</v>
      </c>
      <c r="CZ100">
        <f>AF100</f>
        <v>123</v>
      </c>
      <c r="DA100">
        <f>AJ100</f>
        <v>7.05</v>
      </c>
      <c r="DB100">
        <v>0</v>
      </c>
    </row>
    <row r="101" spans="1:106" x14ac:dyDescent="0.35">
      <c r="A101">
        <f>ROW(Source!A48)</f>
        <v>48</v>
      </c>
      <c r="B101">
        <v>502564877</v>
      </c>
      <c r="C101">
        <v>502573387</v>
      </c>
      <c r="D101">
        <v>338037661</v>
      </c>
      <c r="E101">
        <v>1</v>
      </c>
      <c r="F101">
        <v>1</v>
      </c>
      <c r="G101">
        <v>1</v>
      </c>
      <c r="H101">
        <v>2</v>
      </c>
      <c r="I101" t="s">
        <v>396</v>
      </c>
      <c r="J101" t="s">
        <v>397</v>
      </c>
      <c r="K101" t="s">
        <v>398</v>
      </c>
      <c r="L101">
        <v>1368</v>
      </c>
      <c r="N101">
        <v>91022270</v>
      </c>
      <c r="O101" t="s">
        <v>331</v>
      </c>
      <c r="P101" t="s">
        <v>331</v>
      </c>
      <c r="Q101">
        <v>1</v>
      </c>
      <c r="W101">
        <v>0</v>
      </c>
      <c r="X101">
        <v>1606831026</v>
      </c>
      <c r="Y101">
        <v>15.262499999999999</v>
      </c>
      <c r="AA101">
        <v>0</v>
      </c>
      <c r="AB101">
        <v>1013.57</v>
      </c>
      <c r="AC101">
        <v>355.97</v>
      </c>
      <c r="AD101">
        <v>0</v>
      </c>
      <c r="AE101">
        <v>0</v>
      </c>
      <c r="AF101">
        <v>206.01</v>
      </c>
      <c r="AG101">
        <v>14.4</v>
      </c>
      <c r="AH101">
        <v>0</v>
      </c>
      <c r="AI101">
        <v>1</v>
      </c>
      <c r="AJ101">
        <v>4.92</v>
      </c>
      <c r="AK101">
        <v>24.72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12.21</v>
      </c>
      <c r="AU101" t="s">
        <v>63</v>
      </c>
      <c r="AV101">
        <v>0</v>
      </c>
      <c r="AW101">
        <v>2</v>
      </c>
      <c r="AX101">
        <v>502573402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Y101*Source!I48</f>
        <v>2.0299125</v>
      </c>
      <c r="CY101">
        <f>AB101</f>
        <v>1013.57</v>
      </c>
      <c r="CZ101">
        <f>AF101</f>
        <v>206.01</v>
      </c>
      <c r="DA101">
        <f>AJ101</f>
        <v>4.92</v>
      </c>
      <c r="DB101">
        <v>0</v>
      </c>
    </row>
    <row r="102" spans="1:106" x14ac:dyDescent="0.35">
      <c r="A102">
        <f>ROW(Source!A48)</f>
        <v>48</v>
      </c>
      <c r="B102">
        <v>502564877</v>
      </c>
      <c r="C102">
        <v>502573387</v>
      </c>
      <c r="D102">
        <v>338037719</v>
      </c>
      <c r="E102">
        <v>1</v>
      </c>
      <c r="F102">
        <v>1</v>
      </c>
      <c r="G102">
        <v>1</v>
      </c>
      <c r="H102">
        <v>2</v>
      </c>
      <c r="I102" t="s">
        <v>399</v>
      </c>
      <c r="J102" t="s">
        <v>400</v>
      </c>
      <c r="K102" t="s">
        <v>401</v>
      </c>
      <c r="L102">
        <v>1368</v>
      </c>
      <c r="N102">
        <v>91022270</v>
      </c>
      <c r="O102" t="s">
        <v>331</v>
      </c>
      <c r="P102" t="s">
        <v>331</v>
      </c>
      <c r="Q102">
        <v>1</v>
      </c>
      <c r="W102">
        <v>0</v>
      </c>
      <c r="X102">
        <v>-962845729</v>
      </c>
      <c r="Y102">
        <v>1.3</v>
      </c>
      <c r="AA102">
        <v>0</v>
      </c>
      <c r="AB102">
        <v>686.4</v>
      </c>
      <c r="AC102">
        <v>286.75</v>
      </c>
      <c r="AD102">
        <v>0</v>
      </c>
      <c r="AE102">
        <v>0</v>
      </c>
      <c r="AF102">
        <v>110</v>
      </c>
      <c r="AG102">
        <v>11.6</v>
      </c>
      <c r="AH102">
        <v>0</v>
      </c>
      <c r="AI102">
        <v>1</v>
      </c>
      <c r="AJ102">
        <v>6.24</v>
      </c>
      <c r="AK102">
        <v>24.72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1.04</v>
      </c>
      <c r="AU102" t="s">
        <v>63</v>
      </c>
      <c r="AV102">
        <v>0</v>
      </c>
      <c r="AW102">
        <v>2</v>
      </c>
      <c r="AX102">
        <v>502573403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Y102*Source!I48</f>
        <v>0.17290000000000003</v>
      </c>
      <c r="CY102">
        <f>AB102</f>
        <v>686.4</v>
      </c>
      <c r="CZ102">
        <f>AF102</f>
        <v>110</v>
      </c>
      <c r="DA102">
        <f>AJ102</f>
        <v>6.24</v>
      </c>
      <c r="DB102">
        <v>0</v>
      </c>
    </row>
    <row r="103" spans="1:106" x14ac:dyDescent="0.35">
      <c r="A103">
        <f>ROW(Source!A48)</f>
        <v>48</v>
      </c>
      <c r="B103">
        <v>502564877</v>
      </c>
      <c r="C103">
        <v>502573387</v>
      </c>
      <c r="D103">
        <v>338013924</v>
      </c>
      <c r="E103">
        <v>1</v>
      </c>
      <c r="F103">
        <v>1</v>
      </c>
      <c r="G103">
        <v>1</v>
      </c>
      <c r="H103">
        <v>3</v>
      </c>
      <c r="I103" t="s">
        <v>119</v>
      </c>
      <c r="J103" t="s">
        <v>121</v>
      </c>
      <c r="K103" t="s">
        <v>120</v>
      </c>
      <c r="L103">
        <v>1339</v>
      </c>
      <c r="N103">
        <v>1007</v>
      </c>
      <c r="O103" t="s">
        <v>112</v>
      </c>
      <c r="P103" t="s">
        <v>112</v>
      </c>
      <c r="Q103">
        <v>1</v>
      </c>
      <c r="W103">
        <v>0</v>
      </c>
      <c r="X103">
        <v>214605657</v>
      </c>
      <c r="Y103">
        <v>126</v>
      </c>
      <c r="AA103">
        <v>1356.78</v>
      </c>
      <c r="AB103">
        <v>0</v>
      </c>
      <c r="AC103">
        <v>0</v>
      </c>
      <c r="AD103">
        <v>0</v>
      </c>
      <c r="AE103">
        <v>118.6</v>
      </c>
      <c r="AF103">
        <v>0</v>
      </c>
      <c r="AG103">
        <v>0</v>
      </c>
      <c r="AH103">
        <v>0</v>
      </c>
      <c r="AI103">
        <v>11.44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T103">
        <v>126</v>
      </c>
      <c r="AV103">
        <v>0</v>
      </c>
      <c r="AW103">
        <v>1</v>
      </c>
      <c r="AX103">
        <v>-1</v>
      </c>
      <c r="AY103">
        <v>0</v>
      </c>
      <c r="AZ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Y103*Source!I48</f>
        <v>16.758000000000003</v>
      </c>
      <c r="CY103">
        <f>AA103</f>
        <v>1356.78</v>
      </c>
      <c r="CZ103">
        <f>AE103</f>
        <v>118.6</v>
      </c>
      <c r="DA103">
        <f>AI103</f>
        <v>11.44</v>
      </c>
      <c r="DB103">
        <v>0</v>
      </c>
    </row>
    <row r="104" spans="1:106" x14ac:dyDescent="0.35">
      <c r="A104">
        <f>ROW(Source!A48)</f>
        <v>48</v>
      </c>
      <c r="B104">
        <v>502564877</v>
      </c>
      <c r="C104">
        <v>502573387</v>
      </c>
      <c r="D104">
        <v>338014469</v>
      </c>
      <c r="E104">
        <v>1</v>
      </c>
      <c r="F104">
        <v>1</v>
      </c>
      <c r="G104">
        <v>1</v>
      </c>
      <c r="H104">
        <v>3</v>
      </c>
      <c r="I104" t="s">
        <v>402</v>
      </c>
      <c r="J104" t="s">
        <v>403</v>
      </c>
      <c r="K104" t="s">
        <v>404</v>
      </c>
      <c r="L104">
        <v>1339</v>
      </c>
      <c r="N104">
        <v>1007</v>
      </c>
      <c r="O104" t="s">
        <v>112</v>
      </c>
      <c r="P104" t="s">
        <v>112</v>
      </c>
      <c r="Q104">
        <v>1</v>
      </c>
      <c r="W104">
        <v>0</v>
      </c>
      <c r="X104">
        <v>619799737</v>
      </c>
      <c r="Y104">
        <v>7</v>
      </c>
      <c r="AA104">
        <v>16.59</v>
      </c>
      <c r="AB104">
        <v>0</v>
      </c>
      <c r="AC104">
        <v>0</v>
      </c>
      <c r="AD104">
        <v>0</v>
      </c>
      <c r="AE104">
        <v>2.44</v>
      </c>
      <c r="AF104">
        <v>0</v>
      </c>
      <c r="AG104">
        <v>0</v>
      </c>
      <c r="AH104">
        <v>0</v>
      </c>
      <c r="AI104">
        <v>6.8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7</v>
      </c>
      <c r="AV104">
        <v>0</v>
      </c>
      <c r="AW104">
        <v>2</v>
      </c>
      <c r="AX104">
        <v>502573405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Y104*Source!I48</f>
        <v>0.93100000000000005</v>
      </c>
      <c r="CY104">
        <f>AA104</f>
        <v>16.59</v>
      </c>
      <c r="CZ104">
        <f>AE104</f>
        <v>2.44</v>
      </c>
      <c r="DA104">
        <f>AI104</f>
        <v>6.8</v>
      </c>
      <c r="DB104">
        <v>0</v>
      </c>
    </row>
    <row r="105" spans="1:106" x14ac:dyDescent="0.35">
      <c r="A105">
        <f>ROW(Source!A50)</f>
        <v>50</v>
      </c>
      <c r="B105">
        <v>502564877</v>
      </c>
      <c r="C105">
        <v>502573407</v>
      </c>
      <c r="D105">
        <v>37776124</v>
      </c>
      <c r="E105">
        <v>1</v>
      </c>
      <c r="F105">
        <v>1</v>
      </c>
      <c r="G105">
        <v>1</v>
      </c>
      <c r="H105">
        <v>1</v>
      </c>
      <c r="I105" t="s">
        <v>407</v>
      </c>
      <c r="K105" t="s">
        <v>408</v>
      </c>
      <c r="L105">
        <v>1369</v>
      </c>
      <c r="N105">
        <v>1013</v>
      </c>
      <c r="O105" t="s">
        <v>325</v>
      </c>
      <c r="P105" t="s">
        <v>325</v>
      </c>
      <c r="Q105">
        <v>1</v>
      </c>
      <c r="W105">
        <v>0</v>
      </c>
      <c r="X105">
        <v>-546915240</v>
      </c>
      <c r="Y105">
        <v>245.68600000000001</v>
      </c>
      <c r="AA105">
        <v>0</v>
      </c>
      <c r="AB105">
        <v>0</v>
      </c>
      <c r="AC105">
        <v>0</v>
      </c>
      <c r="AD105">
        <v>8.74</v>
      </c>
      <c r="AE105">
        <v>0</v>
      </c>
      <c r="AF105">
        <v>0</v>
      </c>
      <c r="AG105">
        <v>0</v>
      </c>
      <c r="AH105">
        <v>8.74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213.64</v>
      </c>
      <c r="AU105" t="s">
        <v>64</v>
      </c>
      <c r="AV105">
        <v>1</v>
      </c>
      <c r="AW105">
        <v>2</v>
      </c>
      <c r="AX105">
        <v>502573420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Y105*Source!I50</f>
        <v>81.260644499999998</v>
      </c>
      <c r="CY105">
        <f>AD105</f>
        <v>8.74</v>
      </c>
      <c r="CZ105">
        <f>AH105</f>
        <v>8.74</v>
      </c>
      <c r="DA105">
        <f>AL105</f>
        <v>1</v>
      </c>
      <c r="DB105">
        <v>0</v>
      </c>
    </row>
    <row r="106" spans="1:106" x14ac:dyDescent="0.35">
      <c r="A106">
        <f>ROW(Source!A50)</f>
        <v>50</v>
      </c>
      <c r="B106">
        <v>502564877</v>
      </c>
      <c r="C106">
        <v>502573407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72</v>
      </c>
      <c r="K106" t="s">
        <v>326</v>
      </c>
      <c r="L106">
        <v>608254</v>
      </c>
      <c r="N106">
        <v>1013</v>
      </c>
      <c r="O106" t="s">
        <v>327</v>
      </c>
      <c r="P106" t="s">
        <v>327</v>
      </c>
      <c r="Q106">
        <v>1</v>
      </c>
      <c r="W106">
        <v>0</v>
      </c>
      <c r="X106">
        <v>-185737400</v>
      </c>
      <c r="Y106">
        <v>110.8125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88.65</v>
      </c>
      <c r="AU106" t="s">
        <v>63</v>
      </c>
      <c r="AV106">
        <v>2</v>
      </c>
      <c r="AW106">
        <v>2</v>
      </c>
      <c r="AX106">
        <v>502573421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Y106*Source!I50</f>
        <v>36.651234375000001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35">
      <c r="A107">
        <f>ROW(Source!A50)</f>
        <v>50</v>
      </c>
      <c r="B107">
        <v>502564877</v>
      </c>
      <c r="C107">
        <v>502573407</v>
      </c>
      <c r="D107">
        <v>338036808</v>
      </c>
      <c r="E107">
        <v>1</v>
      </c>
      <c r="F107">
        <v>1</v>
      </c>
      <c r="G107">
        <v>1</v>
      </c>
      <c r="H107">
        <v>2</v>
      </c>
      <c r="I107" t="s">
        <v>372</v>
      </c>
      <c r="J107" t="s">
        <v>373</v>
      </c>
      <c r="K107" t="s">
        <v>374</v>
      </c>
      <c r="L107">
        <v>1368</v>
      </c>
      <c r="N107">
        <v>91022270</v>
      </c>
      <c r="O107" t="s">
        <v>331</v>
      </c>
      <c r="P107" t="s">
        <v>331</v>
      </c>
      <c r="Q107">
        <v>1</v>
      </c>
      <c r="W107">
        <v>0</v>
      </c>
      <c r="X107">
        <v>1106923569</v>
      </c>
      <c r="Y107">
        <v>84.075000000000003</v>
      </c>
      <c r="AA107">
        <v>0</v>
      </c>
      <c r="AB107">
        <v>817.6</v>
      </c>
      <c r="AC107">
        <v>333.72</v>
      </c>
      <c r="AD107">
        <v>0</v>
      </c>
      <c r="AE107">
        <v>0</v>
      </c>
      <c r="AF107">
        <v>112</v>
      </c>
      <c r="AG107">
        <v>13.5</v>
      </c>
      <c r="AH107">
        <v>0</v>
      </c>
      <c r="AI107">
        <v>1</v>
      </c>
      <c r="AJ107">
        <v>7.3</v>
      </c>
      <c r="AK107">
        <v>24.72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67.260000000000005</v>
      </c>
      <c r="AU107" t="s">
        <v>63</v>
      </c>
      <c r="AV107">
        <v>0</v>
      </c>
      <c r="AW107">
        <v>2</v>
      </c>
      <c r="AX107">
        <v>502573422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Y107*Source!I50</f>
        <v>27.807806249999999</v>
      </c>
      <c r="CY107">
        <f>AB107</f>
        <v>817.6</v>
      </c>
      <c r="CZ107">
        <f>AF107</f>
        <v>112</v>
      </c>
      <c r="DA107">
        <f>AJ107</f>
        <v>7.3</v>
      </c>
      <c r="DB107">
        <v>0</v>
      </c>
    </row>
    <row r="108" spans="1:106" x14ac:dyDescent="0.35">
      <c r="A108">
        <f>ROW(Source!A50)</f>
        <v>50</v>
      </c>
      <c r="B108">
        <v>502564877</v>
      </c>
      <c r="C108">
        <v>502573407</v>
      </c>
      <c r="D108">
        <v>338037075</v>
      </c>
      <c r="E108">
        <v>1</v>
      </c>
      <c r="F108">
        <v>1</v>
      </c>
      <c r="G108">
        <v>1</v>
      </c>
      <c r="H108">
        <v>2</v>
      </c>
      <c r="I108" t="s">
        <v>409</v>
      </c>
      <c r="J108" t="s">
        <v>410</v>
      </c>
      <c r="K108" t="s">
        <v>411</v>
      </c>
      <c r="L108">
        <v>1368</v>
      </c>
      <c r="N108">
        <v>91022270</v>
      </c>
      <c r="O108" t="s">
        <v>331</v>
      </c>
      <c r="P108" t="s">
        <v>331</v>
      </c>
      <c r="Q108">
        <v>1</v>
      </c>
      <c r="W108">
        <v>0</v>
      </c>
      <c r="X108">
        <v>180222472</v>
      </c>
      <c r="Y108">
        <v>9.2624999999999993</v>
      </c>
      <c r="AA108">
        <v>0</v>
      </c>
      <c r="AB108">
        <v>90.58</v>
      </c>
      <c r="AC108">
        <v>0</v>
      </c>
      <c r="AD108">
        <v>0</v>
      </c>
      <c r="AE108">
        <v>0</v>
      </c>
      <c r="AF108">
        <v>14</v>
      </c>
      <c r="AG108">
        <v>0</v>
      </c>
      <c r="AH108">
        <v>0</v>
      </c>
      <c r="AI108">
        <v>1</v>
      </c>
      <c r="AJ108">
        <v>6.47</v>
      </c>
      <c r="AK108">
        <v>24.72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7.41</v>
      </c>
      <c r="AU108" t="s">
        <v>63</v>
      </c>
      <c r="AV108">
        <v>0</v>
      </c>
      <c r="AW108">
        <v>2</v>
      </c>
      <c r="AX108">
        <v>502573423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Y108*Source!I50</f>
        <v>3.0635718749999996</v>
      </c>
      <c r="CY108">
        <f>AB108</f>
        <v>90.58</v>
      </c>
      <c r="CZ108">
        <f>AF108</f>
        <v>14</v>
      </c>
      <c r="DA108">
        <f>AJ108</f>
        <v>6.47</v>
      </c>
      <c r="DB108">
        <v>0</v>
      </c>
    </row>
    <row r="109" spans="1:106" x14ac:dyDescent="0.35">
      <c r="A109">
        <f>ROW(Source!A50)</f>
        <v>50</v>
      </c>
      <c r="B109">
        <v>502564877</v>
      </c>
      <c r="C109">
        <v>502573407</v>
      </c>
      <c r="D109">
        <v>338037621</v>
      </c>
      <c r="E109">
        <v>1</v>
      </c>
      <c r="F109">
        <v>1</v>
      </c>
      <c r="G109">
        <v>1</v>
      </c>
      <c r="H109">
        <v>2</v>
      </c>
      <c r="I109" t="s">
        <v>412</v>
      </c>
      <c r="J109" t="s">
        <v>413</v>
      </c>
      <c r="K109" t="s">
        <v>414</v>
      </c>
      <c r="L109">
        <v>1368</v>
      </c>
      <c r="N109">
        <v>91022270</v>
      </c>
      <c r="O109" t="s">
        <v>331</v>
      </c>
      <c r="P109" t="s">
        <v>331</v>
      </c>
      <c r="Q109">
        <v>1</v>
      </c>
      <c r="W109">
        <v>0</v>
      </c>
      <c r="X109">
        <v>-1931107531</v>
      </c>
      <c r="Y109">
        <v>26.737500000000001</v>
      </c>
      <c r="AA109">
        <v>0</v>
      </c>
      <c r="AB109">
        <v>1072.53</v>
      </c>
      <c r="AC109">
        <v>286.75</v>
      </c>
      <c r="AD109">
        <v>0</v>
      </c>
      <c r="AE109">
        <v>0</v>
      </c>
      <c r="AF109">
        <v>175.25</v>
      </c>
      <c r="AG109">
        <v>11.6</v>
      </c>
      <c r="AH109">
        <v>0</v>
      </c>
      <c r="AI109">
        <v>1</v>
      </c>
      <c r="AJ109">
        <v>6.12</v>
      </c>
      <c r="AK109">
        <v>24.72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21.39</v>
      </c>
      <c r="AU109" t="s">
        <v>63</v>
      </c>
      <c r="AV109">
        <v>0</v>
      </c>
      <c r="AW109">
        <v>2</v>
      </c>
      <c r="AX109">
        <v>502573424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Y109*Source!I50</f>
        <v>8.8434281249999991</v>
      </c>
      <c r="CY109">
        <f>AB109</f>
        <v>1072.53</v>
      </c>
      <c r="CZ109">
        <f>AF109</f>
        <v>175.25</v>
      </c>
      <c r="DA109">
        <f>AJ109</f>
        <v>6.12</v>
      </c>
      <c r="DB109">
        <v>0</v>
      </c>
    </row>
    <row r="110" spans="1:106" x14ac:dyDescent="0.35">
      <c r="A110">
        <f>ROW(Source!A50)</f>
        <v>50</v>
      </c>
      <c r="B110">
        <v>502564877</v>
      </c>
      <c r="C110">
        <v>502573407</v>
      </c>
      <c r="D110">
        <v>338037681</v>
      </c>
      <c r="E110">
        <v>1</v>
      </c>
      <c r="F110">
        <v>1</v>
      </c>
      <c r="G110">
        <v>1</v>
      </c>
      <c r="H110">
        <v>2</v>
      </c>
      <c r="I110" t="s">
        <v>415</v>
      </c>
      <c r="J110" t="s">
        <v>416</v>
      </c>
      <c r="K110" t="s">
        <v>417</v>
      </c>
      <c r="L110">
        <v>1368</v>
      </c>
      <c r="N110">
        <v>91022270</v>
      </c>
      <c r="O110" t="s">
        <v>331</v>
      </c>
      <c r="P110" t="s">
        <v>331</v>
      </c>
      <c r="Q110">
        <v>1</v>
      </c>
      <c r="W110">
        <v>0</v>
      </c>
      <c r="X110">
        <v>527313756</v>
      </c>
      <c r="Y110">
        <v>2.1</v>
      </c>
      <c r="AA110">
        <v>0</v>
      </c>
      <c r="AB110">
        <v>114.9</v>
      </c>
      <c r="AC110">
        <v>0</v>
      </c>
      <c r="AD110">
        <v>0</v>
      </c>
      <c r="AE110">
        <v>0</v>
      </c>
      <c r="AF110">
        <v>30</v>
      </c>
      <c r="AG110">
        <v>0</v>
      </c>
      <c r="AH110">
        <v>0</v>
      </c>
      <c r="AI110">
        <v>1</v>
      </c>
      <c r="AJ110">
        <v>3.83</v>
      </c>
      <c r="AK110">
        <v>24.72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1.68</v>
      </c>
      <c r="AU110" t="s">
        <v>63</v>
      </c>
      <c r="AV110">
        <v>0</v>
      </c>
      <c r="AW110">
        <v>2</v>
      </c>
      <c r="AX110">
        <v>502573425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Y110*Source!I50</f>
        <v>0.69457500000000005</v>
      </c>
      <c r="CY110">
        <f>AB110</f>
        <v>114.9</v>
      </c>
      <c r="CZ110">
        <f>AF110</f>
        <v>30</v>
      </c>
      <c r="DA110">
        <f>AJ110</f>
        <v>3.83</v>
      </c>
      <c r="DB110">
        <v>0</v>
      </c>
    </row>
    <row r="111" spans="1:106" x14ac:dyDescent="0.35">
      <c r="A111">
        <f>ROW(Source!A50)</f>
        <v>50</v>
      </c>
      <c r="B111">
        <v>502564877</v>
      </c>
      <c r="C111">
        <v>502573407</v>
      </c>
      <c r="D111">
        <v>338039342</v>
      </c>
      <c r="E111">
        <v>1</v>
      </c>
      <c r="F111">
        <v>1</v>
      </c>
      <c r="G111">
        <v>1</v>
      </c>
      <c r="H111">
        <v>2</v>
      </c>
      <c r="I111" t="s">
        <v>355</v>
      </c>
      <c r="J111" t="s">
        <v>356</v>
      </c>
      <c r="K111" t="s">
        <v>357</v>
      </c>
      <c r="L111">
        <v>1368</v>
      </c>
      <c r="N111">
        <v>91022270</v>
      </c>
      <c r="O111" t="s">
        <v>331</v>
      </c>
      <c r="P111" t="s">
        <v>331</v>
      </c>
      <c r="Q111">
        <v>1</v>
      </c>
      <c r="W111">
        <v>0</v>
      </c>
      <c r="X111">
        <v>1230759911</v>
      </c>
      <c r="Y111">
        <v>17.45</v>
      </c>
      <c r="AA111">
        <v>0</v>
      </c>
      <c r="AB111">
        <v>785.4</v>
      </c>
      <c r="AC111">
        <v>286.75</v>
      </c>
      <c r="AD111">
        <v>0</v>
      </c>
      <c r="AE111">
        <v>0</v>
      </c>
      <c r="AF111">
        <v>87.17</v>
      </c>
      <c r="AG111">
        <v>11.6</v>
      </c>
      <c r="AH111">
        <v>0</v>
      </c>
      <c r="AI111">
        <v>1</v>
      </c>
      <c r="AJ111">
        <v>9.01</v>
      </c>
      <c r="AK111">
        <v>24.72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13.96</v>
      </c>
      <c r="AU111" t="s">
        <v>63</v>
      </c>
      <c r="AV111">
        <v>0</v>
      </c>
      <c r="AW111">
        <v>2</v>
      </c>
      <c r="AX111">
        <v>502573426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Y111*Source!I50</f>
        <v>5.7715874999999999</v>
      </c>
      <c r="CY111">
        <f>AB111</f>
        <v>785.4</v>
      </c>
      <c r="CZ111">
        <f>AF111</f>
        <v>87.17</v>
      </c>
      <c r="DA111">
        <f>AJ111</f>
        <v>9.01</v>
      </c>
      <c r="DB111">
        <v>0</v>
      </c>
    </row>
    <row r="112" spans="1:106" x14ac:dyDescent="0.35">
      <c r="A112">
        <f>ROW(Source!A50)</f>
        <v>50</v>
      </c>
      <c r="B112">
        <v>502564877</v>
      </c>
      <c r="C112">
        <v>502573407</v>
      </c>
      <c r="D112">
        <v>337978394</v>
      </c>
      <c r="E112">
        <v>1</v>
      </c>
      <c r="F112">
        <v>1</v>
      </c>
      <c r="G112">
        <v>1</v>
      </c>
      <c r="H112">
        <v>3</v>
      </c>
      <c r="I112" t="s">
        <v>418</v>
      </c>
      <c r="J112" t="s">
        <v>419</v>
      </c>
      <c r="K112" t="s">
        <v>420</v>
      </c>
      <c r="L112">
        <v>1348</v>
      </c>
      <c r="N112">
        <v>39568864</v>
      </c>
      <c r="O112" t="s">
        <v>381</v>
      </c>
      <c r="P112" t="s">
        <v>381</v>
      </c>
      <c r="Q112">
        <v>1000</v>
      </c>
      <c r="W112">
        <v>0</v>
      </c>
      <c r="X112">
        <v>-1319080431</v>
      </c>
      <c r="Y112">
        <v>1.3299999999999999E-2</v>
      </c>
      <c r="AA112">
        <v>80144.92</v>
      </c>
      <c r="AB112">
        <v>0</v>
      </c>
      <c r="AC112">
        <v>0</v>
      </c>
      <c r="AD112">
        <v>0</v>
      </c>
      <c r="AE112">
        <v>9749.99</v>
      </c>
      <c r="AF112">
        <v>0</v>
      </c>
      <c r="AG112">
        <v>0</v>
      </c>
      <c r="AH112">
        <v>0</v>
      </c>
      <c r="AI112">
        <v>8.2200000000000006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1.3299999999999999E-2</v>
      </c>
      <c r="AV112">
        <v>0</v>
      </c>
      <c r="AW112">
        <v>2</v>
      </c>
      <c r="AX112">
        <v>502573427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Y112*Source!I50</f>
        <v>4.3989749999999994E-3</v>
      </c>
      <c r="CY112">
        <f>AA112</f>
        <v>80144.92</v>
      </c>
      <c r="CZ112">
        <f>AE112</f>
        <v>9749.99</v>
      </c>
      <c r="DA112">
        <f>AI112</f>
        <v>8.2200000000000006</v>
      </c>
      <c r="DB112">
        <v>0</v>
      </c>
    </row>
    <row r="113" spans="1:106" x14ac:dyDescent="0.35">
      <c r="A113">
        <f>ROW(Source!A50)</f>
        <v>50</v>
      </c>
      <c r="B113">
        <v>502564877</v>
      </c>
      <c r="C113">
        <v>502573407</v>
      </c>
      <c r="D113">
        <v>337972870</v>
      </c>
      <c r="E113">
        <v>1</v>
      </c>
      <c r="F113">
        <v>1</v>
      </c>
      <c r="G113">
        <v>1</v>
      </c>
      <c r="H113">
        <v>3</v>
      </c>
      <c r="I113" t="s">
        <v>421</v>
      </c>
      <c r="J113" t="s">
        <v>422</v>
      </c>
      <c r="K113" t="s">
        <v>423</v>
      </c>
      <c r="L113">
        <v>1348</v>
      </c>
      <c r="N113">
        <v>39568864</v>
      </c>
      <c r="O113" t="s">
        <v>381</v>
      </c>
      <c r="P113" t="s">
        <v>381</v>
      </c>
      <c r="Q113">
        <v>1000</v>
      </c>
      <c r="W113">
        <v>0</v>
      </c>
      <c r="X113">
        <v>-159856178</v>
      </c>
      <c r="Y113">
        <v>0.46</v>
      </c>
      <c r="AA113">
        <v>34710</v>
      </c>
      <c r="AB113">
        <v>0</v>
      </c>
      <c r="AC113">
        <v>0</v>
      </c>
      <c r="AD113">
        <v>0</v>
      </c>
      <c r="AE113">
        <v>1500</v>
      </c>
      <c r="AF113">
        <v>0</v>
      </c>
      <c r="AG113">
        <v>0</v>
      </c>
      <c r="AH113">
        <v>0</v>
      </c>
      <c r="AI113">
        <v>23.14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0.46</v>
      </c>
      <c r="AV113">
        <v>0</v>
      </c>
      <c r="AW113">
        <v>2</v>
      </c>
      <c r="AX113">
        <v>502573428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Y113*Source!I50</f>
        <v>0.152145</v>
      </c>
      <c r="CY113">
        <f>AA113</f>
        <v>34710</v>
      </c>
      <c r="CZ113">
        <f>AE113</f>
        <v>1500</v>
      </c>
      <c r="DA113">
        <f>AI113</f>
        <v>23.14</v>
      </c>
      <c r="DB113">
        <v>0</v>
      </c>
    </row>
    <row r="114" spans="1:106" x14ac:dyDescent="0.35">
      <c r="A114">
        <f>ROW(Source!A50)</f>
        <v>50</v>
      </c>
      <c r="B114">
        <v>502564877</v>
      </c>
      <c r="C114">
        <v>502573407</v>
      </c>
      <c r="D114">
        <v>338009425</v>
      </c>
      <c r="E114">
        <v>1</v>
      </c>
      <c r="F114">
        <v>1</v>
      </c>
      <c r="G114">
        <v>1</v>
      </c>
      <c r="H114">
        <v>3</v>
      </c>
      <c r="I114" t="s">
        <v>424</v>
      </c>
      <c r="J114" t="s">
        <v>425</v>
      </c>
      <c r="K114" t="s">
        <v>426</v>
      </c>
      <c r="L114">
        <v>1339</v>
      </c>
      <c r="N114">
        <v>1007</v>
      </c>
      <c r="O114" t="s">
        <v>112</v>
      </c>
      <c r="P114" t="s">
        <v>112</v>
      </c>
      <c r="Q114">
        <v>1</v>
      </c>
      <c r="W114">
        <v>0</v>
      </c>
      <c r="X114">
        <v>-74926002</v>
      </c>
      <c r="Y114">
        <v>0.7</v>
      </c>
      <c r="AA114">
        <v>3949.3</v>
      </c>
      <c r="AB114">
        <v>0</v>
      </c>
      <c r="AC114">
        <v>0</v>
      </c>
      <c r="AD114">
        <v>0</v>
      </c>
      <c r="AE114">
        <v>730</v>
      </c>
      <c r="AF114">
        <v>0</v>
      </c>
      <c r="AG114">
        <v>0</v>
      </c>
      <c r="AH114">
        <v>0</v>
      </c>
      <c r="AI114">
        <v>5.41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0.7</v>
      </c>
      <c r="AV114">
        <v>0</v>
      </c>
      <c r="AW114">
        <v>2</v>
      </c>
      <c r="AX114">
        <v>502573429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Y114*Source!I50</f>
        <v>0.23152499999999998</v>
      </c>
      <c r="CY114">
        <f>AA114</f>
        <v>3949.3</v>
      </c>
      <c r="CZ114">
        <f>AE114</f>
        <v>730</v>
      </c>
      <c r="DA114">
        <f>AI114</f>
        <v>5.41</v>
      </c>
      <c r="DB114">
        <v>0</v>
      </c>
    </row>
    <row r="115" spans="1:106" x14ac:dyDescent="0.35">
      <c r="A115">
        <f>ROW(Source!A50)</f>
        <v>50</v>
      </c>
      <c r="B115">
        <v>502564877</v>
      </c>
      <c r="C115">
        <v>502573407</v>
      </c>
      <c r="D115">
        <v>338009637</v>
      </c>
      <c r="E115">
        <v>1</v>
      </c>
      <c r="F115">
        <v>1</v>
      </c>
      <c r="G115">
        <v>1</v>
      </c>
      <c r="H115">
        <v>3</v>
      </c>
      <c r="I115" t="s">
        <v>427</v>
      </c>
      <c r="J115" t="s">
        <v>428</v>
      </c>
      <c r="K115" t="s">
        <v>429</v>
      </c>
      <c r="L115">
        <v>1339</v>
      </c>
      <c r="N115">
        <v>1007</v>
      </c>
      <c r="O115" t="s">
        <v>112</v>
      </c>
      <c r="P115" t="s">
        <v>112</v>
      </c>
      <c r="Q115">
        <v>1</v>
      </c>
      <c r="W115">
        <v>0</v>
      </c>
      <c r="X115">
        <v>-364114852</v>
      </c>
      <c r="Y115">
        <v>0.8</v>
      </c>
      <c r="AA115">
        <v>3061.52</v>
      </c>
      <c r="AB115">
        <v>0</v>
      </c>
      <c r="AC115">
        <v>0</v>
      </c>
      <c r="AD115">
        <v>0</v>
      </c>
      <c r="AE115">
        <v>497</v>
      </c>
      <c r="AF115">
        <v>0</v>
      </c>
      <c r="AG115">
        <v>0</v>
      </c>
      <c r="AH115">
        <v>0</v>
      </c>
      <c r="AI115">
        <v>6.16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0.8</v>
      </c>
      <c r="AV115">
        <v>0</v>
      </c>
      <c r="AW115">
        <v>2</v>
      </c>
      <c r="AX115">
        <v>502573430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Y115*Source!I50</f>
        <v>0.2646</v>
      </c>
      <c r="CY115">
        <f>AA115</f>
        <v>3061.52</v>
      </c>
      <c r="CZ115">
        <f>AE115</f>
        <v>497</v>
      </c>
      <c r="DA115">
        <f>AI115</f>
        <v>6.16</v>
      </c>
      <c r="DB115">
        <v>0</v>
      </c>
    </row>
    <row r="116" spans="1:106" x14ac:dyDescent="0.35">
      <c r="A116">
        <f>ROW(Source!A50)</f>
        <v>50</v>
      </c>
      <c r="B116">
        <v>502564877</v>
      </c>
      <c r="C116">
        <v>502573407</v>
      </c>
      <c r="D116">
        <v>338011378</v>
      </c>
      <c r="E116">
        <v>1</v>
      </c>
      <c r="F116">
        <v>1</v>
      </c>
      <c r="G116">
        <v>1</v>
      </c>
      <c r="H116">
        <v>3</v>
      </c>
      <c r="I116" t="s">
        <v>95</v>
      </c>
      <c r="J116" t="s">
        <v>98</v>
      </c>
      <c r="K116" t="s">
        <v>96</v>
      </c>
      <c r="L116">
        <v>195242642</v>
      </c>
      <c r="N116">
        <v>1010</v>
      </c>
      <c r="O116" t="s">
        <v>97</v>
      </c>
      <c r="P116" t="s">
        <v>97</v>
      </c>
      <c r="Q116">
        <v>1</v>
      </c>
      <c r="W116">
        <v>0</v>
      </c>
      <c r="X116">
        <v>-1902898408</v>
      </c>
      <c r="Y116">
        <v>63.492063000000002</v>
      </c>
      <c r="AA116">
        <v>7483.41</v>
      </c>
      <c r="AB116">
        <v>0</v>
      </c>
      <c r="AC116">
        <v>0</v>
      </c>
      <c r="AD116">
        <v>0</v>
      </c>
      <c r="AE116">
        <v>1358.15</v>
      </c>
      <c r="AF116">
        <v>0</v>
      </c>
      <c r="AG116">
        <v>0</v>
      </c>
      <c r="AH116">
        <v>0</v>
      </c>
      <c r="AI116">
        <v>5.51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T116">
        <v>63.492063000000002</v>
      </c>
      <c r="AV116">
        <v>0</v>
      </c>
      <c r="AW116">
        <v>1</v>
      </c>
      <c r="AX116">
        <v>-1</v>
      </c>
      <c r="AY116">
        <v>0</v>
      </c>
      <c r="AZ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Y116*Source!I50</f>
        <v>20.999999837249998</v>
      </c>
      <c r="CY116">
        <f>AA116</f>
        <v>7483.41</v>
      </c>
      <c r="CZ116">
        <f>AE116</f>
        <v>1358.15</v>
      </c>
      <c r="DA116">
        <f>AI116</f>
        <v>5.51</v>
      </c>
      <c r="DB116">
        <v>0</v>
      </c>
    </row>
    <row r="117" spans="1:106" x14ac:dyDescent="0.35">
      <c r="A117">
        <f>ROW(Source!A52)</f>
        <v>52</v>
      </c>
      <c r="B117">
        <v>502564877</v>
      </c>
      <c r="C117">
        <v>502573433</v>
      </c>
      <c r="D117">
        <v>37776124</v>
      </c>
      <c r="E117">
        <v>1</v>
      </c>
      <c r="F117">
        <v>1</v>
      </c>
      <c r="G117">
        <v>1</v>
      </c>
      <c r="H117">
        <v>1</v>
      </c>
      <c r="I117" t="s">
        <v>407</v>
      </c>
      <c r="K117" t="s">
        <v>408</v>
      </c>
      <c r="L117">
        <v>1369</v>
      </c>
      <c r="N117">
        <v>1013</v>
      </c>
      <c r="O117" t="s">
        <v>325</v>
      </c>
      <c r="P117" t="s">
        <v>325</v>
      </c>
      <c r="Q117">
        <v>1</v>
      </c>
      <c r="W117">
        <v>0</v>
      </c>
      <c r="X117">
        <v>-546915240</v>
      </c>
      <c r="Y117">
        <v>245.68600000000001</v>
      </c>
      <c r="AA117">
        <v>0</v>
      </c>
      <c r="AB117">
        <v>0</v>
      </c>
      <c r="AC117">
        <v>0</v>
      </c>
      <c r="AD117">
        <v>8.74</v>
      </c>
      <c r="AE117">
        <v>0</v>
      </c>
      <c r="AF117">
        <v>0</v>
      </c>
      <c r="AG117">
        <v>0</v>
      </c>
      <c r="AH117">
        <v>8.74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213.64</v>
      </c>
      <c r="AU117" t="s">
        <v>64</v>
      </c>
      <c r="AV117">
        <v>1</v>
      </c>
      <c r="AW117">
        <v>2</v>
      </c>
      <c r="AX117">
        <v>502573446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Y117*Source!I52</f>
        <v>18.573861600000001</v>
      </c>
      <c r="CY117">
        <f>AD117</f>
        <v>8.74</v>
      </c>
      <c r="CZ117">
        <f>AH117</f>
        <v>8.74</v>
      </c>
      <c r="DA117">
        <f>AL117</f>
        <v>1</v>
      </c>
      <c r="DB117">
        <v>0</v>
      </c>
    </row>
    <row r="118" spans="1:106" x14ac:dyDescent="0.35">
      <c r="A118">
        <f>ROW(Source!A52)</f>
        <v>52</v>
      </c>
      <c r="B118">
        <v>502564877</v>
      </c>
      <c r="C118">
        <v>502573433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72</v>
      </c>
      <c r="K118" t="s">
        <v>326</v>
      </c>
      <c r="L118">
        <v>608254</v>
      </c>
      <c r="N118">
        <v>1013</v>
      </c>
      <c r="O118" t="s">
        <v>327</v>
      </c>
      <c r="P118" t="s">
        <v>327</v>
      </c>
      <c r="Q118">
        <v>1</v>
      </c>
      <c r="W118">
        <v>0</v>
      </c>
      <c r="X118">
        <v>-185737400</v>
      </c>
      <c r="Y118">
        <v>110.8125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88.65</v>
      </c>
      <c r="AU118" t="s">
        <v>63</v>
      </c>
      <c r="AV118">
        <v>2</v>
      </c>
      <c r="AW118">
        <v>2</v>
      </c>
      <c r="AX118">
        <v>502573447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Y118*Source!I52</f>
        <v>8.3774250000000006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35">
      <c r="A119">
        <f>ROW(Source!A52)</f>
        <v>52</v>
      </c>
      <c r="B119">
        <v>502564877</v>
      </c>
      <c r="C119">
        <v>502573433</v>
      </c>
      <c r="D119">
        <v>338036808</v>
      </c>
      <c r="E119">
        <v>1</v>
      </c>
      <c r="F119">
        <v>1</v>
      </c>
      <c r="G119">
        <v>1</v>
      </c>
      <c r="H119">
        <v>2</v>
      </c>
      <c r="I119" t="s">
        <v>372</v>
      </c>
      <c r="J119" t="s">
        <v>373</v>
      </c>
      <c r="K119" t="s">
        <v>374</v>
      </c>
      <c r="L119">
        <v>1368</v>
      </c>
      <c r="N119">
        <v>91022270</v>
      </c>
      <c r="O119" t="s">
        <v>331</v>
      </c>
      <c r="P119" t="s">
        <v>331</v>
      </c>
      <c r="Q119">
        <v>1</v>
      </c>
      <c r="W119">
        <v>0</v>
      </c>
      <c r="X119">
        <v>1106923569</v>
      </c>
      <c r="Y119">
        <v>84.075000000000003</v>
      </c>
      <c r="AA119">
        <v>0</v>
      </c>
      <c r="AB119">
        <v>817.6</v>
      </c>
      <c r="AC119">
        <v>333.72</v>
      </c>
      <c r="AD119">
        <v>0</v>
      </c>
      <c r="AE119">
        <v>0</v>
      </c>
      <c r="AF119">
        <v>112</v>
      </c>
      <c r="AG119">
        <v>13.5</v>
      </c>
      <c r="AH119">
        <v>0</v>
      </c>
      <c r="AI119">
        <v>1</v>
      </c>
      <c r="AJ119">
        <v>7.3</v>
      </c>
      <c r="AK119">
        <v>24.72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67.260000000000005</v>
      </c>
      <c r="AU119" t="s">
        <v>63</v>
      </c>
      <c r="AV119">
        <v>0</v>
      </c>
      <c r="AW119">
        <v>2</v>
      </c>
      <c r="AX119">
        <v>502573448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Y119*Source!I52</f>
        <v>6.3560699999999999</v>
      </c>
      <c r="CY119">
        <f>AB119</f>
        <v>817.6</v>
      </c>
      <c r="CZ119">
        <f>AF119</f>
        <v>112</v>
      </c>
      <c r="DA119">
        <f>AJ119</f>
        <v>7.3</v>
      </c>
      <c r="DB119">
        <v>0</v>
      </c>
    </row>
    <row r="120" spans="1:106" x14ac:dyDescent="0.35">
      <c r="A120">
        <f>ROW(Source!A52)</f>
        <v>52</v>
      </c>
      <c r="B120">
        <v>502564877</v>
      </c>
      <c r="C120">
        <v>502573433</v>
      </c>
      <c r="D120">
        <v>338037075</v>
      </c>
      <c r="E120">
        <v>1</v>
      </c>
      <c r="F120">
        <v>1</v>
      </c>
      <c r="G120">
        <v>1</v>
      </c>
      <c r="H120">
        <v>2</v>
      </c>
      <c r="I120" t="s">
        <v>409</v>
      </c>
      <c r="J120" t="s">
        <v>410</v>
      </c>
      <c r="K120" t="s">
        <v>411</v>
      </c>
      <c r="L120">
        <v>1368</v>
      </c>
      <c r="N120">
        <v>91022270</v>
      </c>
      <c r="O120" t="s">
        <v>331</v>
      </c>
      <c r="P120" t="s">
        <v>331</v>
      </c>
      <c r="Q120">
        <v>1</v>
      </c>
      <c r="W120">
        <v>0</v>
      </c>
      <c r="X120">
        <v>180222472</v>
      </c>
      <c r="Y120">
        <v>9.2624999999999993</v>
      </c>
      <c r="AA120">
        <v>0</v>
      </c>
      <c r="AB120">
        <v>90.58</v>
      </c>
      <c r="AC120">
        <v>0</v>
      </c>
      <c r="AD120">
        <v>0</v>
      </c>
      <c r="AE120">
        <v>0</v>
      </c>
      <c r="AF120">
        <v>14</v>
      </c>
      <c r="AG120">
        <v>0</v>
      </c>
      <c r="AH120">
        <v>0</v>
      </c>
      <c r="AI120">
        <v>1</v>
      </c>
      <c r="AJ120">
        <v>6.47</v>
      </c>
      <c r="AK120">
        <v>24.72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7.41</v>
      </c>
      <c r="AU120" t="s">
        <v>63</v>
      </c>
      <c r="AV120">
        <v>0</v>
      </c>
      <c r="AW120">
        <v>2</v>
      </c>
      <c r="AX120">
        <v>502573449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Y120*Source!I52</f>
        <v>0.70024500000000001</v>
      </c>
      <c r="CY120">
        <f>AB120</f>
        <v>90.58</v>
      </c>
      <c r="CZ120">
        <f>AF120</f>
        <v>14</v>
      </c>
      <c r="DA120">
        <f>AJ120</f>
        <v>6.47</v>
      </c>
      <c r="DB120">
        <v>0</v>
      </c>
    </row>
    <row r="121" spans="1:106" x14ac:dyDescent="0.35">
      <c r="A121">
        <f>ROW(Source!A52)</f>
        <v>52</v>
      </c>
      <c r="B121">
        <v>502564877</v>
      </c>
      <c r="C121">
        <v>502573433</v>
      </c>
      <c r="D121">
        <v>338037621</v>
      </c>
      <c r="E121">
        <v>1</v>
      </c>
      <c r="F121">
        <v>1</v>
      </c>
      <c r="G121">
        <v>1</v>
      </c>
      <c r="H121">
        <v>2</v>
      </c>
      <c r="I121" t="s">
        <v>412</v>
      </c>
      <c r="J121" t="s">
        <v>413</v>
      </c>
      <c r="K121" t="s">
        <v>414</v>
      </c>
      <c r="L121">
        <v>1368</v>
      </c>
      <c r="N121">
        <v>91022270</v>
      </c>
      <c r="O121" t="s">
        <v>331</v>
      </c>
      <c r="P121" t="s">
        <v>331</v>
      </c>
      <c r="Q121">
        <v>1</v>
      </c>
      <c r="W121">
        <v>0</v>
      </c>
      <c r="X121">
        <v>-1931107531</v>
      </c>
      <c r="Y121">
        <v>26.737500000000001</v>
      </c>
      <c r="AA121">
        <v>0</v>
      </c>
      <c r="AB121">
        <v>1072.53</v>
      </c>
      <c r="AC121">
        <v>286.75</v>
      </c>
      <c r="AD121">
        <v>0</v>
      </c>
      <c r="AE121">
        <v>0</v>
      </c>
      <c r="AF121">
        <v>175.25</v>
      </c>
      <c r="AG121">
        <v>11.6</v>
      </c>
      <c r="AH121">
        <v>0</v>
      </c>
      <c r="AI121">
        <v>1</v>
      </c>
      <c r="AJ121">
        <v>6.12</v>
      </c>
      <c r="AK121">
        <v>24.72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21.39</v>
      </c>
      <c r="AU121" t="s">
        <v>63</v>
      </c>
      <c r="AV121">
        <v>0</v>
      </c>
      <c r="AW121">
        <v>2</v>
      </c>
      <c r="AX121">
        <v>502573450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Y121*Source!I52</f>
        <v>2.0213550000000002</v>
      </c>
      <c r="CY121">
        <f>AB121</f>
        <v>1072.53</v>
      </c>
      <c r="CZ121">
        <f>AF121</f>
        <v>175.25</v>
      </c>
      <c r="DA121">
        <f>AJ121</f>
        <v>6.12</v>
      </c>
      <c r="DB121">
        <v>0</v>
      </c>
    </row>
    <row r="122" spans="1:106" x14ac:dyDescent="0.35">
      <c r="A122">
        <f>ROW(Source!A52)</f>
        <v>52</v>
      </c>
      <c r="B122">
        <v>502564877</v>
      </c>
      <c r="C122">
        <v>502573433</v>
      </c>
      <c r="D122">
        <v>338037681</v>
      </c>
      <c r="E122">
        <v>1</v>
      </c>
      <c r="F122">
        <v>1</v>
      </c>
      <c r="G122">
        <v>1</v>
      </c>
      <c r="H122">
        <v>2</v>
      </c>
      <c r="I122" t="s">
        <v>415</v>
      </c>
      <c r="J122" t="s">
        <v>416</v>
      </c>
      <c r="K122" t="s">
        <v>417</v>
      </c>
      <c r="L122">
        <v>1368</v>
      </c>
      <c r="N122">
        <v>91022270</v>
      </c>
      <c r="O122" t="s">
        <v>331</v>
      </c>
      <c r="P122" t="s">
        <v>331</v>
      </c>
      <c r="Q122">
        <v>1</v>
      </c>
      <c r="W122">
        <v>0</v>
      </c>
      <c r="X122">
        <v>527313756</v>
      </c>
      <c r="Y122">
        <v>2.1</v>
      </c>
      <c r="AA122">
        <v>0</v>
      </c>
      <c r="AB122">
        <v>114.9</v>
      </c>
      <c r="AC122">
        <v>0</v>
      </c>
      <c r="AD122">
        <v>0</v>
      </c>
      <c r="AE122">
        <v>0</v>
      </c>
      <c r="AF122">
        <v>30</v>
      </c>
      <c r="AG122">
        <v>0</v>
      </c>
      <c r="AH122">
        <v>0</v>
      </c>
      <c r="AI122">
        <v>1</v>
      </c>
      <c r="AJ122">
        <v>3.83</v>
      </c>
      <c r="AK122">
        <v>24.72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1.68</v>
      </c>
      <c r="AU122" t="s">
        <v>63</v>
      </c>
      <c r="AV122">
        <v>0</v>
      </c>
      <c r="AW122">
        <v>2</v>
      </c>
      <c r="AX122">
        <v>502573451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Y122*Source!I52</f>
        <v>0.15876000000000001</v>
      </c>
      <c r="CY122">
        <f>AB122</f>
        <v>114.9</v>
      </c>
      <c r="CZ122">
        <f>AF122</f>
        <v>30</v>
      </c>
      <c r="DA122">
        <f>AJ122</f>
        <v>3.83</v>
      </c>
      <c r="DB122">
        <v>0</v>
      </c>
    </row>
    <row r="123" spans="1:106" x14ac:dyDescent="0.35">
      <c r="A123">
        <f>ROW(Source!A52)</f>
        <v>52</v>
      </c>
      <c r="B123">
        <v>502564877</v>
      </c>
      <c r="C123">
        <v>502573433</v>
      </c>
      <c r="D123">
        <v>338039342</v>
      </c>
      <c r="E123">
        <v>1</v>
      </c>
      <c r="F123">
        <v>1</v>
      </c>
      <c r="G123">
        <v>1</v>
      </c>
      <c r="H123">
        <v>2</v>
      </c>
      <c r="I123" t="s">
        <v>355</v>
      </c>
      <c r="J123" t="s">
        <v>356</v>
      </c>
      <c r="K123" t="s">
        <v>357</v>
      </c>
      <c r="L123">
        <v>1368</v>
      </c>
      <c r="N123">
        <v>91022270</v>
      </c>
      <c r="O123" t="s">
        <v>331</v>
      </c>
      <c r="P123" t="s">
        <v>331</v>
      </c>
      <c r="Q123">
        <v>1</v>
      </c>
      <c r="W123">
        <v>0</v>
      </c>
      <c r="X123">
        <v>1230759911</v>
      </c>
      <c r="Y123">
        <v>17.45</v>
      </c>
      <c r="AA123">
        <v>0</v>
      </c>
      <c r="AB123">
        <v>785.4</v>
      </c>
      <c r="AC123">
        <v>286.75</v>
      </c>
      <c r="AD123">
        <v>0</v>
      </c>
      <c r="AE123">
        <v>0</v>
      </c>
      <c r="AF123">
        <v>87.17</v>
      </c>
      <c r="AG123">
        <v>11.6</v>
      </c>
      <c r="AH123">
        <v>0</v>
      </c>
      <c r="AI123">
        <v>1</v>
      </c>
      <c r="AJ123">
        <v>9.01</v>
      </c>
      <c r="AK123">
        <v>24.72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13.96</v>
      </c>
      <c r="AU123" t="s">
        <v>63</v>
      </c>
      <c r="AV123">
        <v>0</v>
      </c>
      <c r="AW123">
        <v>2</v>
      </c>
      <c r="AX123">
        <v>502573452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Y123*Source!I52</f>
        <v>1.3192200000000001</v>
      </c>
      <c r="CY123">
        <f>AB123</f>
        <v>785.4</v>
      </c>
      <c r="CZ123">
        <f>AF123</f>
        <v>87.17</v>
      </c>
      <c r="DA123">
        <f>AJ123</f>
        <v>9.01</v>
      </c>
      <c r="DB123">
        <v>0</v>
      </c>
    </row>
    <row r="124" spans="1:106" x14ac:dyDescent="0.35">
      <c r="A124">
        <f>ROW(Source!A52)</f>
        <v>52</v>
      </c>
      <c r="B124">
        <v>502564877</v>
      </c>
      <c r="C124">
        <v>502573433</v>
      </c>
      <c r="D124">
        <v>337978394</v>
      </c>
      <c r="E124">
        <v>1</v>
      </c>
      <c r="F124">
        <v>1</v>
      </c>
      <c r="G124">
        <v>1</v>
      </c>
      <c r="H124">
        <v>3</v>
      </c>
      <c r="I124" t="s">
        <v>418</v>
      </c>
      <c r="J124" t="s">
        <v>419</v>
      </c>
      <c r="K124" t="s">
        <v>420</v>
      </c>
      <c r="L124">
        <v>1348</v>
      </c>
      <c r="N124">
        <v>39568864</v>
      </c>
      <c r="O124" t="s">
        <v>381</v>
      </c>
      <c r="P124" t="s">
        <v>381</v>
      </c>
      <c r="Q124">
        <v>1000</v>
      </c>
      <c r="W124">
        <v>0</v>
      </c>
      <c r="X124">
        <v>-1319080431</v>
      </c>
      <c r="Y124">
        <v>1.3299999999999999E-2</v>
      </c>
      <c r="AA124">
        <v>80144.92</v>
      </c>
      <c r="AB124">
        <v>0</v>
      </c>
      <c r="AC124">
        <v>0</v>
      </c>
      <c r="AD124">
        <v>0</v>
      </c>
      <c r="AE124">
        <v>9749.99</v>
      </c>
      <c r="AF124">
        <v>0</v>
      </c>
      <c r="AG124">
        <v>0</v>
      </c>
      <c r="AH124">
        <v>0</v>
      </c>
      <c r="AI124">
        <v>8.2200000000000006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1.3299999999999999E-2</v>
      </c>
      <c r="AV124">
        <v>0</v>
      </c>
      <c r="AW124">
        <v>2</v>
      </c>
      <c r="AX124">
        <v>502573453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Y124*Source!I52</f>
        <v>1.00548E-3</v>
      </c>
      <c r="CY124">
        <f>AA124</f>
        <v>80144.92</v>
      </c>
      <c r="CZ124">
        <f>AE124</f>
        <v>9749.99</v>
      </c>
      <c r="DA124">
        <f>AI124</f>
        <v>8.2200000000000006</v>
      </c>
      <c r="DB124">
        <v>0</v>
      </c>
    </row>
    <row r="125" spans="1:106" x14ac:dyDescent="0.35">
      <c r="A125">
        <f>ROW(Source!A52)</f>
        <v>52</v>
      </c>
      <c r="B125">
        <v>502564877</v>
      </c>
      <c r="C125">
        <v>502573433</v>
      </c>
      <c r="D125">
        <v>337972870</v>
      </c>
      <c r="E125">
        <v>1</v>
      </c>
      <c r="F125">
        <v>1</v>
      </c>
      <c r="G125">
        <v>1</v>
      </c>
      <c r="H125">
        <v>3</v>
      </c>
      <c r="I125" t="s">
        <v>421</v>
      </c>
      <c r="J125" t="s">
        <v>422</v>
      </c>
      <c r="K125" t="s">
        <v>423</v>
      </c>
      <c r="L125">
        <v>1348</v>
      </c>
      <c r="N125">
        <v>39568864</v>
      </c>
      <c r="O125" t="s">
        <v>381</v>
      </c>
      <c r="P125" t="s">
        <v>381</v>
      </c>
      <c r="Q125">
        <v>1000</v>
      </c>
      <c r="W125">
        <v>0</v>
      </c>
      <c r="X125">
        <v>-159856178</v>
      </c>
      <c r="Y125">
        <v>0.46</v>
      </c>
      <c r="AA125">
        <v>34710</v>
      </c>
      <c r="AB125">
        <v>0</v>
      </c>
      <c r="AC125">
        <v>0</v>
      </c>
      <c r="AD125">
        <v>0</v>
      </c>
      <c r="AE125">
        <v>1500</v>
      </c>
      <c r="AF125">
        <v>0</v>
      </c>
      <c r="AG125">
        <v>0</v>
      </c>
      <c r="AH125">
        <v>0</v>
      </c>
      <c r="AI125">
        <v>23.14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0.46</v>
      </c>
      <c r="AV125">
        <v>0</v>
      </c>
      <c r="AW125">
        <v>2</v>
      </c>
      <c r="AX125">
        <v>502573454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Y125*Source!I52</f>
        <v>3.4776000000000001E-2</v>
      </c>
      <c r="CY125">
        <f>AA125</f>
        <v>34710</v>
      </c>
      <c r="CZ125">
        <f>AE125</f>
        <v>1500</v>
      </c>
      <c r="DA125">
        <f>AI125</f>
        <v>23.14</v>
      </c>
      <c r="DB125">
        <v>0</v>
      </c>
    </row>
    <row r="126" spans="1:106" x14ac:dyDescent="0.35">
      <c r="A126">
        <f>ROW(Source!A52)</f>
        <v>52</v>
      </c>
      <c r="B126">
        <v>502564877</v>
      </c>
      <c r="C126">
        <v>502573433</v>
      </c>
      <c r="D126">
        <v>338009425</v>
      </c>
      <c r="E126">
        <v>1</v>
      </c>
      <c r="F126">
        <v>1</v>
      </c>
      <c r="G126">
        <v>1</v>
      </c>
      <c r="H126">
        <v>3</v>
      </c>
      <c r="I126" t="s">
        <v>424</v>
      </c>
      <c r="J126" t="s">
        <v>425</v>
      </c>
      <c r="K126" t="s">
        <v>426</v>
      </c>
      <c r="L126">
        <v>1339</v>
      </c>
      <c r="N126">
        <v>1007</v>
      </c>
      <c r="O126" t="s">
        <v>112</v>
      </c>
      <c r="P126" t="s">
        <v>112</v>
      </c>
      <c r="Q126">
        <v>1</v>
      </c>
      <c r="W126">
        <v>0</v>
      </c>
      <c r="X126">
        <v>-74926002</v>
      </c>
      <c r="Y126">
        <v>0.7</v>
      </c>
      <c r="AA126">
        <v>3949.3</v>
      </c>
      <c r="AB126">
        <v>0</v>
      </c>
      <c r="AC126">
        <v>0</v>
      </c>
      <c r="AD126">
        <v>0</v>
      </c>
      <c r="AE126">
        <v>730</v>
      </c>
      <c r="AF126">
        <v>0</v>
      </c>
      <c r="AG126">
        <v>0</v>
      </c>
      <c r="AH126">
        <v>0</v>
      </c>
      <c r="AI126">
        <v>5.41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0.7</v>
      </c>
      <c r="AV126">
        <v>0</v>
      </c>
      <c r="AW126">
        <v>2</v>
      </c>
      <c r="AX126">
        <v>502573455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Y126*Source!I52</f>
        <v>5.2919999999999995E-2</v>
      </c>
      <c r="CY126">
        <f>AA126</f>
        <v>3949.3</v>
      </c>
      <c r="CZ126">
        <f>AE126</f>
        <v>730</v>
      </c>
      <c r="DA126">
        <f>AI126</f>
        <v>5.41</v>
      </c>
      <c r="DB126">
        <v>0</v>
      </c>
    </row>
    <row r="127" spans="1:106" x14ac:dyDescent="0.35">
      <c r="A127">
        <f>ROW(Source!A52)</f>
        <v>52</v>
      </c>
      <c r="B127">
        <v>502564877</v>
      </c>
      <c r="C127">
        <v>502573433</v>
      </c>
      <c r="D127">
        <v>338009637</v>
      </c>
      <c r="E127">
        <v>1</v>
      </c>
      <c r="F127">
        <v>1</v>
      </c>
      <c r="G127">
        <v>1</v>
      </c>
      <c r="H127">
        <v>3</v>
      </c>
      <c r="I127" t="s">
        <v>427</v>
      </c>
      <c r="J127" t="s">
        <v>428</v>
      </c>
      <c r="K127" t="s">
        <v>429</v>
      </c>
      <c r="L127">
        <v>1339</v>
      </c>
      <c r="N127">
        <v>1007</v>
      </c>
      <c r="O127" t="s">
        <v>112</v>
      </c>
      <c r="P127" t="s">
        <v>112</v>
      </c>
      <c r="Q127">
        <v>1</v>
      </c>
      <c r="W127">
        <v>0</v>
      </c>
      <c r="X127">
        <v>-364114852</v>
      </c>
      <c r="Y127">
        <v>0.8</v>
      </c>
      <c r="AA127">
        <v>3061.52</v>
      </c>
      <c r="AB127">
        <v>0</v>
      </c>
      <c r="AC127">
        <v>0</v>
      </c>
      <c r="AD127">
        <v>0</v>
      </c>
      <c r="AE127">
        <v>497</v>
      </c>
      <c r="AF127">
        <v>0</v>
      </c>
      <c r="AG127">
        <v>0</v>
      </c>
      <c r="AH127">
        <v>0</v>
      </c>
      <c r="AI127">
        <v>6.16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0.8</v>
      </c>
      <c r="AV127">
        <v>0</v>
      </c>
      <c r="AW127">
        <v>2</v>
      </c>
      <c r="AX127">
        <v>502573456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Y127*Source!I52</f>
        <v>6.0480000000000006E-2</v>
      </c>
      <c r="CY127">
        <f>AA127</f>
        <v>3061.52</v>
      </c>
      <c r="CZ127">
        <f>AE127</f>
        <v>497</v>
      </c>
      <c r="DA127">
        <f>AI127</f>
        <v>6.16</v>
      </c>
      <c r="DB127">
        <v>0</v>
      </c>
    </row>
    <row r="128" spans="1:106" x14ac:dyDescent="0.35">
      <c r="A128">
        <f>ROW(Source!A52)</f>
        <v>52</v>
      </c>
      <c r="B128">
        <v>502564877</v>
      </c>
      <c r="C128">
        <v>502573433</v>
      </c>
      <c r="D128">
        <v>338011381</v>
      </c>
      <c r="E128">
        <v>1</v>
      </c>
      <c r="F128">
        <v>1</v>
      </c>
      <c r="G128">
        <v>1</v>
      </c>
      <c r="H128">
        <v>3</v>
      </c>
      <c r="I128" t="s">
        <v>142</v>
      </c>
      <c r="J128" t="s">
        <v>144</v>
      </c>
      <c r="K128" t="s">
        <v>143</v>
      </c>
      <c r="L128">
        <v>195242642</v>
      </c>
      <c r="N128">
        <v>1010</v>
      </c>
      <c r="O128" t="s">
        <v>97</v>
      </c>
      <c r="P128" t="s">
        <v>97</v>
      </c>
      <c r="Q128">
        <v>1</v>
      </c>
      <c r="W128">
        <v>0</v>
      </c>
      <c r="X128">
        <v>-1988665555</v>
      </c>
      <c r="Y128">
        <v>92.592592999999994</v>
      </c>
      <c r="AA128">
        <v>7145.59</v>
      </c>
      <c r="AB128">
        <v>0</v>
      </c>
      <c r="AC128">
        <v>0</v>
      </c>
      <c r="AD128">
        <v>0</v>
      </c>
      <c r="AE128">
        <v>1278.28</v>
      </c>
      <c r="AF128">
        <v>0</v>
      </c>
      <c r="AG128">
        <v>0</v>
      </c>
      <c r="AH128">
        <v>0</v>
      </c>
      <c r="AI128">
        <v>5.59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T128">
        <v>92.592592999999994</v>
      </c>
      <c r="AV128">
        <v>0</v>
      </c>
      <c r="AW128">
        <v>1</v>
      </c>
      <c r="AX128">
        <v>-1</v>
      </c>
      <c r="AY128">
        <v>0</v>
      </c>
      <c r="AZ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Y128*Source!I52</f>
        <v>7.0000000307999999</v>
      </c>
      <c r="CY128">
        <f>AA128</f>
        <v>7145.59</v>
      </c>
      <c r="CZ128">
        <f>AE128</f>
        <v>1278.28</v>
      </c>
      <c r="DA128">
        <f>AI128</f>
        <v>5.59</v>
      </c>
      <c r="DB128">
        <v>0</v>
      </c>
    </row>
    <row r="129" spans="1:106" x14ac:dyDescent="0.35">
      <c r="A129">
        <f>ROW(Source!A88)</f>
        <v>88</v>
      </c>
      <c r="B129">
        <v>502564877</v>
      </c>
      <c r="C129">
        <v>502573520</v>
      </c>
      <c r="D129">
        <v>37777120</v>
      </c>
      <c r="E129">
        <v>1</v>
      </c>
      <c r="F129">
        <v>1</v>
      </c>
      <c r="G129">
        <v>1</v>
      </c>
      <c r="H129">
        <v>1</v>
      </c>
      <c r="I129" t="s">
        <v>430</v>
      </c>
      <c r="K129" t="s">
        <v>431</v>
      </c>
      <c r="L129">
        <v>1369</v>
      </c>
      <c r="N129">
        <v>1013</v>
      </c>
      <c r="O129" t="s">
        <v>325</v>
      </c>
      <c r="P129" t="s">
        <v>325</v>
      </c>
      <c r="Q129">
        <v>1</v>
      </c>
      <c r="W129">
        <v>0</v>
      </c>
      <c r="X129">
        <v>-667300694</v>
      </c>
      <c r="Y129">
        <v>0.57769999999999999</v>
      </c>
      <c r="AA129">
        <v>0</v>
      </c>
      <c r="AB129">
        <v>0</v>
      </c>
      <c r="AC129">
        <v>0</v>
      </c>
      <c r="AD129">
        <v>7.19</v>
      </c>
      <c r="AE129">
        <v>0</v>
      </c>
      <c r="AF129">
        <v>0</v>
      </c>
      <c r="AG129">
        <v>0</v>
      </c>
      <c r="AH129">
        <v>7.19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0.57769999999999999</v>
      </c>
      <c r="AV129">
        <v>1</v>
      </c>
      <c r="AW129">
        <v>2</v>
      </c>
      <c r="AX129">
        <v>502573521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Y129*Source!I88</f>
        <v>31.901518320000001</v>
      </c>
      <c r="CY129">
        <f>AD129</f>
        <v>7.19</v>
      </c>
      <c r="CZ129">
        <f>AH129</f>
        <v>7.19</v>
      </c>
      <c r="DA129">
        <f>AL129</f>
        <v>1</v>
      </c>
      <c r="DB129">
        <v>0</v>
      </c>
    </row>
    <row r="130" spans="1:106" x14ac:dyDescent="0.35">
      <c r="A130">
        <f>ROW(Source!A88)</f>
        <v>88</v>
      </c>
      <c r="B130">
        <v>502564877</v>
      </c>
      <c r="C130">
        <v>502573520</v>
      </c>
      <c r="D130">
        <v>338039353</v>
      </c>
      <c r="E130">
        <v>1</v>
      </c>
      <c r="F130">
        <v>1</v>
      </c>
      <c r="G130">
        <v>1</v>
      </c>
      <c r="H130">
        <v>2</v>
      </c>
      <c r="I130" t="s">
        <v>432</v>
      </c>
      <c r="J130" t="s">
        <v>433</v>
      </c>
      <c r="K130" t="s">
        <v>434</v>
      </c>
      <c r="L130">
        <v>1368</v>
      </c>
      <c r="N130">
        <v>91022270</v>
      </c>
      <c r="O130" t="s">
        <v>331</v>
      </c>
      <c r="P130" t="s">
        <v>331</v>
      </c>
      <c r="Q130">
        <v>1</v>
      </c>
      <c r="W130">
        <v>0</v>
      </c>
      <c r="X130">
        <v>-1888888004</v>
      </c>
      <c r="Y130">
        <v>0.28999999999999998</v>
      </c>
      <c r="AA130">
        <v>0</v>
      </c>
      <c r="AB130">
        <v>763.68</v>
      </c>
      <c r="AC130">
        <v>286.75</v>
      </c>
      <c r="AD130">
        <v>0</v>
      </c>
      <c r="AE130">
        <v>0</v>
      </c>
      <c r="AF130">
        <v>111</v>
      </c>
      <c r="AG130">
        <v>11.6</v>
      </c>
      <c r="AH130">
        <v>0</v>
      </c>
      <c r="AI130">
        <v>1</v>
      </c>
      <c r="AJ130">
        <v>6.88</v>
      </c>
      <c r="AK130">
        <v>24.72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0.28999999999999998</v>
      </c>
      <c r="AV130">
        <v>0</v>
      </c>
      <c r="AW130">
        <v>2</v>
      </c>
      <c r="AX130">
        <v>502573522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Y130*Source!I88</f>
        <v>16.014264000000001</v>
      </c>
      <c r="CY130">
        <f>AB130</f>
        <v>763.68</v>
      </c>
      <c r="CZ130">
        <f>AF130</f>
        <v>111</v>
      </c>
      <c r="DA130">
        <f>AJ130</f>
        <v>6.88</v>
      </c>
      <c r="DB130">
        <v>0</v>
      </c>
    </row>
    <row r="131" spans="1:106" x14ac:dyDescent="0.35">
      <c r="A131">
        <f>ROW(Source!A89)</f>
        <v>89</v>
      </c>
      <c r="B131">
        <v>502564877</v>
      </c>
      <c r="C131">
        <v>502573523</v>
      </c>
      <c r="D131">
        <v>338039354</v>
      </c>
      <c r="E131">
        <v>1</v>
      </c>
      <c r="F131">
        <v>1</v>
      </c>
      <c r="G131">
        <v>1</v>
      </c>
      <c r="H131">
        <v>2</v>
      </c>
      <c r="I131" t="s">
        <v>338</v>
      </c>
      <c r="J131" t="s">
        <v>339</v>
      </c>
      <c r="K131" t="s">
        <v>340</v>
      </c>
      <c r="L131">
        <v>1368</v>
      </c>
      <c r="N131">
        <v>91022270</v>
      </c>
      <c r="O131" t="s">
        <v>331</v>
      </c>
      <c r="P131" t="s">
        <v>331</v>
      </c>
      <c r="Q131">
        <v>1</v>
      </c>
      <c r="W131">
        <v>0</v>
      </c>
      <c r="X131">
        <v>-20649614</v>
      </c>
      <c r="Y131">
        <v>0.17150000000000001</v>
      </c>
      <c r="AA131">
        <v>0</v>
      </c>
      <c r="AB131">
        <v>840.15</v>
      </c>
      <c r="AC131">
        <v>333.72</v>
      </c>
      <c r="AD131">
        <v>0</v>
      </c>
      <c r="AE131">
        <v>0</v>
      </c>
      <c r="AF131">
        <v>112.47</v>
      </c>
      <c r="AG131">
        <v>13.5</v>
      </c>
      <c r="AH131">
        <v>0</v>
      </c>
      <c r="AI131">
        <v>1</v>
      </c>
      <c r="AJ131">
        <v>7.47</v>
      </c>
      <c r="AK131">
        <v>24.72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0.17150000000000001</v>
      </c>
      <c r="AV131">
        <v>0</v>
      </c>
      <c r="AW131">
        <v>2</v>
      </c>
      <c r="AX131">
        <v>502573524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Y131*Source!I89</f>
        <v>9.4705044000000012</v>
      </c>
      <c r="CY131">
        <f>AB131</f>
        <v>840.15</v>
      </c>
      <c r="CZ131">
        <f>AF131</f>
        <v>112.47</v>
      </c>
      <c r="DA131">
        <f>AJ131</f>
        <v>7.47</v>
      </c>
      <c r="DB131">
        <v>0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31"/>
  <sheetViews>
    <sheetView zoomScaleNormal="100" workbookViewId="0"/>
  </sheetViews>
  <sheetFormatPr defaultRowHeight="12.75" x14ac:dyDescent="0.35"/>
  <cols>
    <col min="1" max="1025" width="9" customWidth="1"/>
  </cols>
  <sheetData>
    <row r="1" spans="1:44" x14ac:dyDescent="0.35">
      <c r="A1">
        <f>ROW(Source!A28)</f>
        <v>28</v>
      </c>
      <c r="B1">
        <v>502565305</v>
      </c>
      <c r="C1">
        <v>502565299</v>
      </c>
      <c r="D1">
        <v>37772340</v>
      </c>
      <c r="E1">
        <v>1</v>
      </c>
      <c r="F1">
        <v>1</v>
      </c>
      <c r="G1">
        <v>1</v>
      </c>
      <c r="H1">
        <v>1</v>
      </c>
      <c r="I1" t="s">
        <v>323</v>
      </c>
      <c r="K1" t="s">
        <v>324</v>
      </c>
      <c r="L1">
        <v>1369</v>
      </c>
      <c r="N1">
        <v>1013</v>
      </c>
      <c r="O1" t="s">
        <v>325</v>
      </c>
      <c r="P1" t="s">
        <v>325</v>
      </c>
      <c r="Q1">
        <v>1</v>
      </c>
      <c r="X1">
        <v>9.2799999999999994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64</v>
      </c>
      <c r="AG1">
        <v>10.672000000000001</v>
      </c>
      <c r="AH1">
        <v>2</v>
      </c>
      <c r="AI1">
        <v>502565300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35">
      <c r="A2">
        <f>ROW(Source!A28)</f>
        <v>28</v>
      </c>
      <c r="B2">
        <v>502565306</v>
      </c>
      <c r="C2">
        <v>502565299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72</v>
      </c>
      <c r="K2" t="s">
        <v>326</v>
      </c>
      <c r="L2">
        <v>608254</v>
      </c>
      <c r="N2">
        <v>1013</v>
      </c>
      <c r="O2" t="s">
        <v>327</v>
      </c>
      <c r="P2" t="s">
        <v>327</v>
      </c>
      <c r="Q2">
        <v>1</v>
      </c>
      <c r="X2">
        <v>26.91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63</v>
      </c>
      <c r="AG2">
        <v>33.637500000000003</v>
      </c>
      <c r="AH2">
        <v>2</v>
      </c>
      <c r="AI2">
        <v>502565301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35">
      <c r="A3">
        <f>ROW(Source!A28)</f>
        <v>28</v>
      </c>
      <c r="B3">
        <v>502565307</v>
      </c>
      <c r="C3">
        <v>502565299</v>
      </c>
      <c r="D3">
        <v>338037195</v>
      </c>
      <c r="E3">
        <v>1</v>
      </c>
      <c r="F3">
        <v>1</v>
      </c>
      <c r="G3">
        <v>1</v>
      </c>
      <c r="H3">
        <v>2</v>
      </c>
      <c r="I3" t="s">
        <v>328</v>
      </c>
      <c r="J3" t="s">
        <v>329</v>
      </c>
      <c r="K3" t="s">
        <v>330</v>
      </c>
      <c r="L3">
        <v>1368</v>
      </c>
      <c r="N3">
        <v>91022270</v>
      </c>
      <c r="O3" t="s">
        <v>331</v>
      </c>
      <c r="P3" t="s">
        <v>331</v>
      </c>
      <c r="Q3">
        <v>1</v>
      </c>
      <c r="X3">
        <v>20.53</v>
      </c>
      <c r="Y3">
        <v>0</v>
      </c>
      <c r="Z3">
        <v>125.7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63</v>
      </c>
      <c r="AG3">
        <v>25.662500000000001</v>
      </c>
      <c r="AH3">
        <v>2</v>
      </c>
      <c r="AI3">
        <v>502565302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35">
      <c r="A4">
        <f>ROW(Source!A28)</f>
        <v>28</v>
      </c>
      <c r="B4">
        <v>502565308</v>
      </c>
      <c r="C4">
        <v>502565299</v>
      </c>
      <c r="D4">
        <v>338037300</v>
      </c>
      <c r="E4">
        <v>1</v>
      </c>
      <c r="F4">
        <v>1</v>
      </c>
      <c r="G4">
        <v>1</v>
      </c>
      <c r="H4">
        <v>2</v>
      </c>
      <c r="I4" t="s">
        <v>332</v>
      </c>
      <c r="J4" t="s">
        <v>333</v>
      </c>
      <c r="K4" t="s">
        <v>334</v>
      </c>
      <c r="L4">
        <v>1368</v>
      </c>
      <c r="N4">
        <v>91022270</v>
      </c>
      <c r="O4" t="s">
        <v>331</v>
      </c>
      <c r="P4" t="s">
        <v>331</v>
      </c>
      <c r="Q4">
        <v>1</v>
      </c>
      <c r="X4">
        <v>6.38</v>
      </c>
      <c r="Y4">
        <v>0</v>
      </c>
      <c r="Z4">
        <v>80.010000000000005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63</v>
      </c>
      <c r="AG4">
        <v>7.9749999999999996</v>
      </c>
      <c r="AH4">
        <v>2</v>
      </c>
      <c r="AI4">
        <v>502565303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35">
      <c r="A5">
        <f>ROW(Source!A28)</f>
        <v>28</v>
      </c>
      <c r="B5">
        <v>502565309</v>
      </c>
      <c r="C5">
        <v>502565299</v>
      </c>
      <c r="D5">
        <v>338013933</v>
      </c>
      <c r="E5">
        <v>1</v>
      </c>
      <c r="F5">
        <v>1</v>
      </c>
      <c r="G5">
        <v>1</v>
      </c>
      <c r="H5">
        <v>3</v>
      </c>
      <c r="I5" t="s">
        <v>335</v>
      </c>
      <c r="J5" t="s">
        <v>336</v>
      </c>
      <c r="K5" t="s">
        <v>337</v>
      </c>
      <c r="L5">
        <v>1339</v>
      </c>
      <c r="N5">
        <v>1007</v>
      </c>
      <c r="O5" t="s">
        <v>112</v>
      </c>
      <c r="P5" t="s">
        <v>112</v>
      </c>
      <c r="Q5">
        <v>1</v>
      </c>
      <c r="X5">
        <v>0.03</v>
      </c>
      <c r="Y5">
        <v>108.4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0.03</v>
      </c>
      <c r="AH5">
        <v>2</v>
      </c>
      <c r="AI5">
        <v>502565304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35">
      <c r="A6">
        <f>ROW(Source!A29)</f>
        <v>29</v>
      </c>
      <c r="B6">
        <v>502573519</v>
      </c>
      <c r="C6">
        <v>502573516</v>
      </c>
      <c r="D6">
        <v>338039354</v>
      </c>
      <c r="E6">
        <v>1</v>
      </c>
      <c r="F6">
        <v>1</v>
      </c>
      <c r="G6">
        <v>1</v>
      </c>
      <c r="H6">
        <v>2</v>
      </c>
      <c r="I6" t="s">
        <v>338</v>
      </c>
      <c r="J6" t="s">
        <v>339</v>
      </c>
      <c r="K6" t="s">
        <v>340</v>
      </c>
      <c r="L6">
        <v>1368</v>
      </c>
      <c r="N6">
        <v>91022270</v>
      </c>
      <c r="O6" t="s">
        <v>331</v>
      </c>
      <c r="P6" t="s">
        <v>331</v>
      </c>
      <c r="Q6">
        <v>1</v>
      </c>
      <c r="X6">
        <v>0.17150000000000001</v>
      </c>
      <c r="Y6">
        <v>0</v>
      </c>
      <c r="Z6">
        <v>112.47</v>
      </c>
      <c r="AA6">
        <v>13.5</v>
      </c>
      <c r="AB6">
        <v>0</v>
      </c>
      <c r="AC6">
        <v>0</v>
      </c>
      <c r="AD6">
        <v>1</v>
      </c>
      <c r="AE6">
        <v>0</v>
      </c>
      <c r="AG6">
        <v>0.17150000000000001</v>
      </c>
      <c r="AH6">
        <v>2</v>
      </c>
      <c r="AI6">
        <v>502573519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35">
      <c r="A7">
        <f>ROW(Source!A30)</f>
        <v>30</v>
      </c>
      <c r="B7">
        <v>502572306</v>
      </c>
      <c r="C7">
        <v>502565389</v>
      </c>
      <c r="D7">
        <v>37776094</v>
      </c>
      <c r="E7">
        <v>1</v>
      </c>
      <c r="F7">
        <v>1</v>
      </c>
      <c r="G7">
        <v>1</v>
      </c>
      <c r="H7">
        <v>1</v>
      </c>
      <c r="I7" t="s">
        <v>341</v>
      </c>
      <c r="K7" t="s">
        <v>342</v>
      </c>
      <c r="L7">
        <v>1369</v>
      </c>
      <c r="N7">
        <v>1013</v>
      </c>
      <c r="O7" t="s">
        <v>325</v>
      </c>
      <c r="P7" t="s">
        <v>325</v>
      </c>
      <c r="Q7">
        <v>1</v>
      </c>
      <c r="X7">
        <v>38.880000000000003</v>
      </c>
      <c r="Y7">
        <v>0</v>
      </c>
      <c r="Z7">
        <v>0</v>
      </c>
      <c r="AA7">
        <v>0</v>
      </c>
      <c r="AB7">
        <v>8.31</v>
      </c>
      <c r="AC7">
        <v>0</v>
      </c>
      <c r="AD7">
        <v>1</v>
      </c>
      <c r="AE7">
        <v>1</v>
      </c>
      <c r="AF7" t="s">
        <v>64</v>
      </c>
      <c r="AG7">
        <v>44.712000000000003</v>
      </c>
      <c r="AH7">
        <v>2</v>
      </c>
      <c r="AI7">
        <v>502572306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35">
      <c r="A8">
        <f>ROW(Source!A30)</f>
        <v>30</v>
      </c>
      <c r="B8">
        <v>502572307</v>
      </c>
      <c r="C8">
        <v>502565389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72</v>
      </c>
      <c r="K8" t="s">
        <v>326</v>
      </c>
      <c r="L8">
        <v>608254</v>
      </c>
      <c r="N8">
        <v>1013</v>
      </c>
      <c r="O8" t="s">
        <v>327</v>
      </c>
      <c r="P8" t="s">
        <v>327</v>
      </c>
      <c r="Q8">
        <v>1</v>
      </c>
      <c r="X8">
        <v>4.2300000000000004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63</v>
      </c>
      <c r="AG8">
        <v>5.2874999999999996</v>
      </c>
      <c r="AH8">
        <v>2</v>
      </c>
      <c r="AI8">
        <v>502572307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35">
      <c r="A9">
        <f>ROW(Source!A30)</f>
        <v>30</v>
      </c>
      <c r="B9">
        <v>502572308</v>
      </c>
      <c r="C9">
        <v>502565389</v>
      </c>
      <c r="D9">
        <v>338036908</v>
      </c>
      <c r="E9">
        <v>1</v>
      </c>
      <c r="F9">
        <v>1</v>
      </c>
      <c r="G9">
        <v>1</v>
      </c>
      <c r="H9">
        <v>2</v>
      </c>
      <c r="I9" t="s">
        <v>343</v>
      </c>
      <c r="J9" t="s">
        <v>344</v>
      </c>
      <c r="K9" t="s">
        <v>345</v>
      </c>
      <c r="L9">
        <v>1368</v>
      </c>
      <c r="N9">
        <v>91022270</v>
      </c>
      <c r="O9" t="s">
        <v>331</v>
      </c>
      <c r="P9" t="s">
        <v>331</v>
      </c>
      <c r="Q9">
        <v>1</v>
      </c>
      <c r="X9">
        <v>0.88</v>
      </c>
      <c r="Y9">
        <v>0</v>
      </c>
      <c r="Z9">
        <v>99.89</v>
      </c>
      <c r="AA9">
        <v>10.06</v>
      </c>
      <c r="AB9">
        <v>0</v>
      </c>
      <c r="AC9">
        <v>0</v>
      </c>
      <c r="AD9">
        <v>1</v>
      </c>
      <c r="AE9">
        <v>0</v>
      </c>
      <c r="AF9" t="s">
        <v>63</v>
      </c>
      <c r="AG9">
        <v>1.1000000000000001</v>
      </c>
      <c r="AH9">
        <v>2</v>
      </c>
      <c r="AI9">
        <v>502572308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35">
      <c r="A10">
        <f>ROW(Source!A30)</f>
        <v>30</v>
      </c>
      <c r="B10">
        <v>502572309</v>
      </c>
      <c r="C10">
        <v>502565389</v>
      </c>
      <c r="D10">
        <v>338037063</v>
      </c>
      <c r="E10">
        <v>1</v>
      </c>
      <c r="F10">
        <v>1</v>
      </c>
      <c r="G10">
        <v>1</v>
      </c>
      <c r="H10">
        <v>2</v>
      </c>
      <c r="I10" t="s">
        <v>346</v>
      </c>
      <c r="J10" t="s">
        <v>347</v>
      </c>
      <c r="K10" t="s">
        <v>348</v>
      </c>
      <c r="L10">
        <v>1368</v>
      </c>
      <c r="N10">
        <v>91022270</v>
      </c>
      <c r="O10" t="s">
        <v>331</v>
      </c>
      <c r="P10" t="s">
        <v>331</v>
      </c>
      <c r="Q10">
        <v>1</v>
      </c>
      <c r="X10">
        <v>3.2</v>
      </c>
      <c r="Y10">
        <v>0</v>
      </c>
      <c r="Z10">
        <v>22.29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63</v>
      </c>
      <c r="AG10">
        <v>4</v>
      </c>
      <c r="AH10">
        <v>2</v>
      </c>
      <c r="AI10">
        <v>502572309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35">
      <c r="A11">
        <f>ROW(Source!A30)</f>
        <v>30</v>
      </c>
      <c r="B11">
        <v>502572310</v>
      </c>
      <c r="C11">
        <v>502565389</v>
      </c>
      <c r="D11">
        <v>338037611</v>
      </c>
      <c r="E11">
        <v>1</v>
      </c>
      <c r="F11">
        <v>1</v>
      </c>
      <c r="G11">
        <v>1</v>
      </c>
      <c r="H11">
        <v>2</v>
      </c>
      <c r="I11" t="s">
        <v>349</v>
      </c>
      <c r="J11" t="s">
        <v>350</v>
      </c>
      <c r="K11" t="s">
        <v>351</v>
      </c>
      <c r="L11">
        <v>1368</v>
      </c>
      <c r="N11">
        <v>91022270</v>
      </c>
      <c r="O11" t="s">
        <v>331</v>
      </c>
      <c r="P11" t="s">
        <v>331</v>
      </c>
      <c r="Q11">
        <v>1</v>
      </c>
      <c r="X11">
        <v>0.15</v>
      </c>
      <c r="Y11">
        <v>0</v>
      </c>
      <c r="Z11">
        <v>123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63</v>
      </c>
      <c r="AG11">
        <v>0.1875</v>
      </c>
      <c r="AH11">
        <v>2</v>
      </c>
      <c r="AI11">
        <v>502572310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35">
      <c r="A12">
        <f>ROW(Source!A30)</f>
        <v>30</v>
      </c>
      <c r="B12">
        <v>502572311</v>
      </c>
      <c r="C12">
        <v>502565389</v>
      </c>
      <c r="D12">
        <v>338039020</v>
      </c>
      <c r="E12">
        <v>1</v>
      </c>
      <c r="F12">
        <v>1</v>
      </c>
      <c r="G12">
        <v>1</v>
      </c>
      <c r="H12">
        <v>2</v>
      </c>
      <c r="I12" t="s">
        <v>352</v>
      </c>
      <c r="J12" t="s">
        <v>353</v>
      </c>
      <c r="K12" t="s">
        <v>354</v>
      </c>
      <c r="L12">
        <v>1368</v>
      </c>
      <c r="N12">
        <v>91022270</v>
      </c>
      <c r="O12" t="s">
        <v>331</v>
      </c>
      <c r="P12" t="s">
        <v>331</v>
      </c>
      <c r="Q12">
        <v>1</v>
      </c>
      <c r="X12">
        <v>3.2</v>
      </c>
      <c r="Y12">
        <v>0</v>
      </c>
      <c r="Z12">
        <v>0.95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63</v>
      </c>
      <c r="AG12">
        <v>4</v>
      </c>
      <c r="AH12">
        <v>2</v>
      </c>
      <c r="AI12">
        <v>502572311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35">
      <c r="A13">
        <f>ROW(Source!A30)</f>
        <v>30</v>
      </c>
      <c r="B13">
        <v>502572312</v>
      </c>
      <c r="C13">
        <v>502565389</v>
      </c>
      <c r="D13">
        <v>338039342</v>
      </c>
      <c r="E13">
        <v>1</v>
      </c>
      <c r="F13">
        <v>1</v>
      </c>
      <c r="G13">
        <v>1</v>
      </c>
      <c r="H13">
        <v>2</v>
      </c>
      <c r="I13" t="s">
        <v>355</v>
      </c>
      <c r="J13" t="s">
        <v>356</v>
      </c>
      <c r="K13" t="s">
        <v>357</v>
      </c>
      <c r="L13">
        <v>1368</v>
      </c>
      <c r="N13">
        <v>91022270</v>
      </c>
      <c r="O13" t="s">
        <v>331</v>
      </c>
      <c r="P13" t="s">
        <v>331</v>
      </c>
      <c r="Q13">
        <v>1</v>
      </c>
      <c r="X13">
        <v>0.09</v>
      </c>
      <c r="Y13">
        <v>0</v>
      </c>
      <c r="Z13">
        <v>87.17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63</v>
      </c>
      <c r="AG13">
        <v>0.1125</v>
      </c>
      <c r="AH13">
        <v>2</v>
      </c>
      <c r="AI13">
        <v>502572312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35">
      <c r="A14">
        <f>ROW(Source!A30)</f>
        <v>30</v>
      </c>
      <c r="B14">
        <v>502572313</v>
      </c>
      <c r="C14">
        <v>502565389</v>
      </c>
      <c r="D14">
        <v>337973571</v>
      </c>
      <c r="E14">
        <v>1</v>
      </c>
      <c r="F14">
        <v>1</v>
      </c>
      <c r="G14">
        <v>1</v>
      </c>
      <c r="H14">
        <v>3</v>
      </c>
      <c r="I14" t="s">
        <v>358</v>
      </c>
      <c r="J14" t="s">
        <v>359</v>
      </c>
      <c r="K14" t="s">
        <v>360</v>
      </c>
      <c r="L14">
        <v>369160830</v>
      </c>
      <c r="N14">
        <v>1005</v>
      </c>
      <c r="O14" t="s">
        <v>361</v>
      </c>
      <c r="P14" t="s">
        <v>361</v>
      </c>
      <c r="Q14">
        <v>1</v>
      </c>
      <c r="X14">
        <v>76</v>
      </c>
      <c r="Y14">
        <v>6.78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76</v>
      </c>
      <c r="AH14">
        <v>2</v>
      </c>
      <c r="AI14">
        <v>502572313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35">
      <c r="A15">
        <f>ROW(Source!A30)</f>
        <v>30</v>
      </c>
      <c r="B15">
        <v>502572314</v>
      </c>
      <c r="C15">
        <v>502565389</v>
      </c>
      <c r="D15">
        <v>337971692</v>
      </c>
      <c r="E15">
        <v>1</v>
      </c>
      <c r="F15">
        <v>1</v>
      </c>
      <c r="G15">
        <v>1</v>
      </c>
      <c r="H15">
        <v>3</v>
      </c>
      <c r="I15" t="s">
        <v>362</v>
      </c>
      <c r="J15" t="s">
        <v>363</v>
      </c>
      <c r="K15" t="s">
        <v>364</v>
      </c>
      <c r="L15">
        <v>1301</v>
      </c>
      <c r="N15">
        <v>1003</v>
      </c>
      <c r="O15" t="s">
        <v>365</v>
      </c>
      <c r="P15" t="s">
        <v>365</v>
      </c>
      <c r="Q15">
        <v>1</v>
      </c>
      <c r="X15">
        <v>69.5</v>
      </c>
      <c r="Y15">
        <v>14.48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69.5</v>
      </c>
      <c r="AH15">
        <v>2</v>
      </c>
      <c r="AI15">
        <v>502572314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35">
      <c r="A16">
        <f>ROW(Source!A30)</f>
        <v>30</v>
      </c>
      <c r="B16">
        <v>502572315</v>
      </c>
      <c r="C16">
        <v>502565389</v>
      </c>
      <c r="D16">
        <v>337983711</v>
      </c>
      <c r="E16">
        <v>1</v>
      </c>
      <c r="F16">
        <v>1</v>
      </c>
      <c r="G16">
        <v>1</v>
      </c>
      <c r="H16">
        <v>3</v>
      </c>
      <c r="I16" t="s">
        <v>366</v>
      </c>
      <c r="J16" t="s">
        <v>367</v>
      </c>
      <c r="K16" t="s">
        <v>368</v>
      </c>
      <c r="L16">
        <v>1330</v>
      </c>
      <c r="N16">
        <v>1005</v>
      </c>
      <c r="O16" t="s">
        <v>369</v>
      </c>
      <c r="P16" t="s">
        <v>369</v>
      </c>
      <c r="Q16">
        <v>10</v>
      </c>
      <c r="X16">
        <v>7.6</v>
      </c>
      <c r="Y16">
        <v>21.9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7.6</v>
      </c>
      <c r="AH16">
        <v>2</v>
      </c>
      <c r="AI16">
        <v>502572315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35">
      <c r="A17">
        <f>ROW(Source!A30)</f>
        <v>30</v>
      </c>
      <c r="B17">
        <v>502572316</v>
      </c>
      <c r="C17">
        <v>502565389</v>
      </c>
      <c r="D17">
        <v>338013933</v>
      </c>
      <c r="E17">
        <v>1</v>
      </c>
      <c r="F17">
        <v>1</v>
      </c>
      <c r="G17">
        <v>1</v>
      </c>
      <c r="H17">
        <v>3</v>
      </c>
      <c r="I17" t="s">
        <v>335</v>
      </c>
      <c r="J17" t="s">
        <v>336</v>
      </c>
      <c r="K17" t="s">
        <v>337</v>
      </c>
      <c r="L17">
        <v>1339</v>
      </c>
      <c r="N17">
        <v>1007</v>
      </c>
      <c r="O17" t="s">
        <v>112</v>
      </c>
      <c r="P17" t="s">
        <v>112</v>
      </c>
      <c r="Q17">
        <v>1</v>
      </c>
      <c r="X17">
        <v>13.4</v>
      </c>
      <c r="Y17">
        <v>108.4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13.4</v>
      </c>
      <c r="AH17">
        <v>2</v>
      </c>
      <c r="AI17">
        <v>502572316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35">
      <c r="A18">
        <f>ROW(Source!A31)</f>
        <v>31</v>
      </c>
      <c r="B18">
        <v>502571823</v>
      </c>
      <c r="C18">
        <v>502571822</v>
      </c>
      <c r="D18">
        <v>37775796</v>
      </c>
      <c r="E18">
        <v>1</v>
      </c>
      <c r="F18">
        <v>1</v>
      </c>
      <c r="G18">
        <v>1</v>
      </c>
      <c r="H18">
        <v>1</v>
      </c>
      <c r="I18" t="s">
        <v>370</v>
      </c>
      <c r="K18" t="s">
        <v>371</v>
      </c>
      <c r="L18">
        <v>1369</v>
      </c>
      <c r="N18">
        <v>1013</v>
      </c>
      <c r="O18" t="s">
        <v>325</v>
      </c>
      <c r="P18" t="s">
        <v>325</v>
      </c>
      <c r="Q18">
        <v>1</v>
      </c>
      <c r="X18">
        <v>204.24</v>
      </c>
      <c r="Y18">
        <v>0</v>
      </c>
      <c r="Z18">
        <v>0</v>
      </c>
      <c r="AA18">
        <v>0</v>
      </c>
      <c r="AB18">
        <v>9.2899999999999991</v>
      </c>
      <c r="AC18">
        <v>0</v>
      </c>
      <c r="AD18">
        <v>1</v>
      </c>
      <c r="AE18">
        <v>1</v>
      </c>
      <c r="AF18" t="s">
        <v>64</v>
      </c>
      <c r="AG18">
        <v>234.876</v>
      </c>
      <c r="AH18">
        <v>2</v>
      </c>
      <c r="AI18">
        <v>502571823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35">
      <c r="A19">
        <f>ROW(Source!A31)</f>
        <v>31</v>
      </c>
      <c r="B19">
        <v>502571824</v>
      </c>
      <c r="C19">
        <v>502571822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72</v>
      </c>
      <c r="K19" t="s">
        <v>326</v>
      </c>
      <c r="L19">
        <v>608254</v>
      </c>
      <c r="N19">
        <v>1013</v>
      </c>
      <c r="O19" t="s">
        <v>327</v>
      </c>
      <c r="P19" t="s">
        <v>327</v>
      </c>
      <c r="Q19">
        <v>1</v>
      </c>
      <c r="X19">
        <v>22.51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63</v>
      </c>
      <c r="AG19">
        <v>28.137499999999999</v>
      </c>
      <c r="AH19">
        <v>2</v>
      </c>
      <c r="AI19">
        <v>502571824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35">
      <c r="A20">
        <f>ROW(Source!A31)</f>
        <v>31</v>
      </c>
      <c r="B20">
        <v>502571825</v>
      </c>
      <c r="C20">
        <v>502571822</v>
      </c>
      <c r="D20">
        <v>338036808</v>
      </c>
      <c r="E20">
        <v>1</v>
      </c>
      <c r="F20">
        <v>1</v>
      </c>
      <c r="G20">
        <v>1</v>
      </c>
      <c r="H20">
        <v>2</v>
      </c>
      <c r="I20" t="s">
        <v>372</v>
      </c>
      <c r="J20" t="s">
        <v>373</v>
      </c>
      <c r="K20" t="s">
        <v>374</v>
      </c>
      <c r="L20">
        <v>1368</v>
      </c>
      <c r="N20">
        <v>91022270</v>
      </c>
      <c r="O20" t="s">
        <v>331</v>
      </c>
      <c r="P20" t="s">
        <v>331</v>
      </c>
      <c r="Q20">
        <v>1</v>
      </c>
      <c r="X20">
        <v>4.25</v>
      </c>
      <c r="Y20">
        <v>0</v>
      </c>
      <c r="Z20">
        <v>112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63</v>
      </c>
      <c r="AG20">
        <v>5.3125</v>
      </c>
      <c r="AH20">
        <v>2</v>
      </c>
      <c r="AI20">
        <v>502571825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35">
      <c r="A21">
        <f>ROW(Source!A31)</f>
        <v>31</v>
      </c>
      <c r="B21">
        <v>502571826</v>
      </c>
      <c r="C21">
        <v>502571822</v>
      </c>
      <c r="D21">
        <v>338036837</v>
      </c>
      <c r="E21">
        <v>1</v>
      </c>
      <c r="F21">
        <v>1</v>
      </c>
      <c r="G21">
        <v>1</v>
      </c>
      <c r="H21">
        <v>2</v>
      </c>
      <c r="I21" t="s">
        <v>375</v>
      </c>
      <c r="J21" t="s">
        <v>376</v>
      </c>
      <c r="K21" t="s">
        <v>377</v>
      </c>
      <c r="L21">
        <v>1368</v>
      </c>
      <c r="N21">
        <v>91022270</v>
      </c>
      <c r="O21" t="s">
        <v>331</v>
      </c>
      <c r="P21" t="s">
        <v>331</v>
      </c>
      <c r="Q21">
        <v>1</v>
      </c>
      <c r="X21">
        <v>18.260000000000002</v>
      </c>
      <c r="Y21">
        <v>0</v>
      </c>
      <c r="Z21">
        <v>120.03</v>
      </c>
      <c r="AA21">
        <v>13.5</v>
      </c>
      <c r="AB21">
        <v>0</v>
      </c>
      <c r="AC21">
        <v>0</v>
      </c>
      <c r="AD21">
        <v>1</v>
      </c>
      <c r="AE21">
        <v>0</v>
      </c>
      <c r="AF21" t="s">
        <v>63</v>
      </c>
      <c r="AG21">
        <v>22.824999999999999</v>
      </c>
      <c r="AH21">
        <v>2</v>
      </c>
      <c r="AI21">
        <v>502571826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35">
      <c r="A22">
        <f>ROW(Source!A31)</f>
        <v>31</v>
      </c>
      <c r="B22">
        <v>502571827</v>
      </c>
      <c r="C22">
        <v>502571822</v>
      </c>
      <c r="D22">
        <v>338039342</v>
      </c>
      <c r="E22">
        <v>1</v>
      </c>
      <c r="F22">
        <v>1</v>
      </c>
      <c r="G22">
        <v>1</v>
      </c>
      <c r="H22">
        <v>2</v>
      </c>
      <c r="I22" t="s">
        <v>355</v>
      </c>
      <c r="J22" t="s">
        <v>356</v>
      </c>
      <c r="K22" t="s">
        <v>357</v>
      </c>
      <c r="L22">
        <v>1368</v>
      </c>
      <c r="N22">
        <v>91022270</v>
      </c>
      <c r="O22" t="s">
        <v>331</v>
      </c>
      <c r="P22" t="s">
        <v>331</v>
      </c>
      <c r="Q22">
        <v>1</v>
      </c>
      <c r="X22">
        <v>6.38</v>
      </c>
      <c r="Y22">
        <v>0</v>
      </c>
      <c r="Z22">
        <v>87.17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63</v>
      </c>
      <c r="AG22">
        <v>7.9749999999999996</v>
      </c>
      <c r="AH22">
        <v>2</v>
      </c>
      <c r="AI22">
        <v>502571827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35">
      <c r="A23">
        <f>ROW(Source!A31)</f>
        <v>31</v>
      </c>
      <c r="B23">
        <v>502571828</v>
      </c>
      <c r="C23">
        <v>502571822</v>
      </c>
      <c r="D23">
        <v>337978662</v>
      </c>
      <c r="E23">
        <v>1</v>
      </c>
      <c r="F23">
        <v>1</v>
      </c>
      <c r="G23">
        <v>1</v>
      </c>
      <c r="H23">
        <v>3</v>
      </c>
      <c r="I23" t="s">
        <v>378</v>
      </c>
      <c r="J23" t="s">
        <v>379</v>
      </c>
      <c r="K23" t="s">
        <v>380</v>
      </c>
      <c r="L23">
        <v>1348</v>
      </c>
      <c r="N23">
        <v>39568864</v>
      </c>
      <c r="O23" t="s">
        <v>381</v>
      </c>
      <c r="P23" t="s">
        <v>381</v>
      </c>
      <c r="Q23">
        <v>1000</v>
      </c>
      <c r="X23">
        <v>0.64</v>
      </c>
      <c r="Y23">
        <v>9040.01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0.64</v>
      </c>
      <c r="AH23">
        <v>2</v>
      </c>
      <c r="AI23">
        <v>502571828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35">
      <c r="A24">
        <f>ROW(Source!A31)</f>
        <v>31</v>
      </c>
      <c r="B24">
        <v>502571829</v>
      </c>
      <c r="C24">
        <v>502571822</v>
      </c>
      <c r="D24">
        <v>337993717</v>
      </c>
      <c r="E24">
        <v>1</v>
      </c>
      <c r="F24">
        <v>1</v>
      </c>
      <c r="G24">
        <v>1</v>
      </c>
      <c r="H24">
        <v>3</v>
      </c>
      <c r="I24" t="s">
        <v>382</v>
      </c>
      <c r="J24" t="s">
        <v>383</v>
      </c>
      <c r="K24" t="s">
        <v>384</v>
      </c>
      <c r="L24">
        <v>1348</v>
      </c>
      <c r="N24">
        <v>39568864</v>
      </c>
      <c r="O24" t="s">
        <v>381</v>
      </c>
      <c r="P24" t="s">
        <v>381</v>
      </c>
      <c r="Q24">
        <v>1000</v>
      </c>
      <c r="X24">
        <v>0.186</v>
      </c>
      <c r="Y24">
        <v>10045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0.186</v>
      </c>
      <c r="AH24">
        <v>2</v>
      </c>
      <c r="AI24">
        <v>502571829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35">
      <c r="A25">
        <f>ROW(Source!A31)</f>
        <v>31</v>
      </c>
      <c r="B25">
        <v>502571830</v>
      </c>
      <c r="C25">
        <v>502571822</v>
      </c>
      <c r="D25">
        <v>338009491</v>
      </c>
      <c r="E25">
        <v>1</v>
      </c>
      <c r="F25">
        <v>1</v>
      </c>
      <c r="G25">
        <v>1</v>
      </c>
      <c r="H25">
        <v>3</v>
      </c>
      <c r="I25" t="s">
        <v>385</v>
      </c>
      <c r="J25" t="s">
        <v>386</v>
      </c>
      <c r="K25" t="s">
        <v>387</v>
      </c>
      <c r="L25">
        <v>1339</v>
      </c>
      <c r="N25">
        <v>1007</v>
      </c>
      <c r="O25" t="s">
        <v>112</v>
      </c>
      <c r="P25" t="s">
        <v>112</v>
      </c>
      <c r="Q25">
        <v>1</v>
      </c>
      <c r="X25">
        <v>1.01</v>
      </c>
      <c r="Y25">
        <v>738.57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1.01</v>
      </c>
      <c r="AH25">
        <v>2</v>
      </c>
      <c r="AI25">
        <v>502571830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35">
      <c r="A26">
        <f>ROW(Source!A31)</f>
        <v>31</v>
      </c>
      <c r="B26">
        <v>502571831</v>
      </c>
      <c r="C26">
        <v>502571822</v>
      </c>
      <c r="D26">
        <v>338012151</v>
      </c>
      <c r="E26">
        <v>1</v>
      </c>
      <c r="F26">
        <v>1</v>
      </c>
      <c r="G26">
        <v>1</v>
      </c>
      <c r="H26">
        <v>3</v>
      </c>
      <c r="I26" t="s">
        <v>435</v>
      </c>
      <c r="J26" t="s">
        <v>436</v>
      </c>
      <c r="K26" t="s">
        <v>437</v>
      </c>
      <c r="L26">
        <v>195242642</v>
      </c>
      <c r="N26">
        <v>1010</v>
      </c>
      <c r="O26" t="s">
        <v>97</v>
      </c>
      <c r="P26" t="s">
        <v>97</v>
      </c>
      <c r="Q26">
        <v>1</v>
      </c>
      <c r="X26">
        <v>100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G26">
        <v>100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35">
      <c r="A27">
        <f>ROW(Source!A33)</f>
        <v>33</v>
      </c>
      <c r="B27">
        <v>502573198</v>
      </c>
      <c r="C27">
        <v>502572088</v>
      </c>
      <c r="D27">
        <v>37776094</v>
      </c>
      <c r="E27">
        <v>1</v>
      </c>
      <c r="F27">
        <v>1</v>
      </c>
      <c r="G27">
        <v>1</v>
      </c>
      <c r="H27">
        <v>1</v>
      </c>
      <c r="I27" t="s">
        <v>341</v>
      </c>
      <c r="K27" t="s">
        <v>342</v>
      </c>
      <c r="L27">
        <v>1369</v>
      </c>
      <c r="N27">
        <v>1013</v>
      </c>
      <c r="O27" t="s">
        <v>325</v>
      </c>
      <c r="P27" t="s">
        <v>325</v>
      </c>
      <c r="Q27">
        <v>1</v>
      </c>
      <c r="X27">
        <v>179.8</v>
      </c>
      <c r="Y27">
        <v>0</v>
      </c>
      <c r="Z27">
        <v>0</v>
      </c>
      <c r="AA27">
        <v>0</v>
      </c>
      <c r="AB27">
        <v>8.31</v>
      </c>
      <c r="AC27">
        <v>0</v>
      </c>
      <c r="AD27">
        <v>1</v>
      </c>
      <c r="AE27">
        <v>1</v>
      </c>
      <c r="AG27">
        <v>179.8</v>
      </c>
      <c r="AH27">
        <v>2</v>
      </c>
      <c r="AI27">
        <v>502573198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35">
      <c r="A28">
        <f>ROW(Source!A33)</f>
        <v>33</v>
      </c>
      <c r="B28">
        <v>502573199</v>
      </c>
      <c r="C28">
        <v>502572088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72</v>
      </c>
      <c r="K28" t="s">
        <v>326</v>
      </c>
      <c r="L28">
        <v>608254</v>
      </c>
      <c r="N28">
        <v>1013</v>
      </c>
      <c r="O28" t="s">
        <v>327</v>
      </c>
      <c r="P28" t="s">
        <v>327</v>
      </c>
      <c r="Q28">
        <v>1</v>
      </c>
      <c r="X28">
        <v>45.63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45.63</v>
      </c>
      <c r="AH28">
        <v>2</v>
      </c>
      <c r="AI28">
        <v>502573199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35">
      <c r="A29">
        <f>ROW(Source!A33)</f>
        <v>33</v>
      </c>
      <c r="B29">
        <v>502573200</v>
      </c>
      <c r="C29">
        <v>502572088</v>
      </c>
      <c r="D29">
        <v>338037139</v>
      </c>
      <c r="E29">
        <v>1</v>
      </c>
      <c r="F29">
        <v>1</v>
      </c>
      <c r="G29">
        <v>1</v>
      </c>
      <c r="H29">
        <v>2</v>
      </c>
      <c r="I29" t="s">
        <v>388</v>
      </c>
      <c r="J29" t="s">
        <v>389</v>
      </c>
      <c r="K29" t="s">
        <v>390</v>
      </c>
      <c r="L29">
        <v>1368</v>
      </c>
      <c r="N29">
        <v>91022270</v>
      </c>
      <c r="O29" t="s">
        <v>331</v>
      </c>
      <c r="P29" t="s">
        <v>331</v>
      </c>
      <c r="Q29">
        <v>1</v>
      </c>
      <c r="X29">
        <v>44.08</v>
      </c>
      <c r="Y29">
        <v>0</v>
      </c>
      <c r="Z29">
        <v>46.56</v>
      </c>
      <c r="AA29">
        <v>10.06</v>
      </c>
      <c r="AB29">
        <v>0</v>
      </c>
      <c r="AC29">
        <v>0</v>
      </c>
      <c r="AD29">
        <v>1</v>
      </c>
      <c r="AE29">
        <v>0</v>
      </c>
      <c r="AG29">
        <v>44.08</v>
      </c>
      <c r="AH29">
        <v>2</v>
      </c>
      <c r="AI29">
        <v>502573200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35">
      <c r="A30">
        <f>ROW(Source!A33)</f>
        <v>33</v>
      </c>
      <c r="B30">
        <v>502573201</v>
      </c>
      <c r="C30">
        <v>502572088</v>
      </c>
      <c r="D30">
        <v>338037611</v>
      </c>
      <c r="E30">
        <v>1</v>
      </c>
      <c r="F30">
        <v>1</v>
      </c>
      <c r="G30">
        <v>1</v>
      </c>
      <c r="H30">
        <v>2</v>
      </c>
      <c r="I30" t="s">
        <v>349</v>
      </c>
      <c r="J30" t="s">
        <v>350</v>
      </c>
      <c r="K30" t="s">
        <v>351</v>
      </c>
      <c r="L30">
        <v>1368</v>
      </c>
      <c r="N30">
        <v>91022270</v>
      </c>
      <c r="O30" t="s">
        <v>331</v>
      </c>
      <c r="P30" t="s">
        <v>331</v>
      </c>
      <c r="Q30">
        <v>1</v>
      </c>
      <c r="X30">
        <v>1.55</v>
      </c>
      <c r="Y30">
        <v>0</v>
      </c>
      <c r="Z30">
        <v>123</v>
      </c>
      <c r="AA30">
        <v>13.5</v>
      </c>
      <c r="AB30">
        <v>0</v>
      </c>
      <c r="AC30">
        <v>0</v>
      </c>
      <c r="AD30">
        <v>1</v>
      </c>
      <c r="AE30">
        <v>0</v>
      </c>
      <c r="AG30">
        <v>1.55</v>
      </c>
      <c r="AH30">
        <v>2</v>
      </c>
      <c r="AI30">
        <v>502573201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35">
      <c r="A31">
        <f>ROW(Source!A33)</f>
        <v>33</v>
      </c>
      <c r="B31">
        <v>502573202</v>
      </c>
      <c r="C31">
        <v>502572088</v>
      </c>
      <c r="D31">
        <v>338038962</v>
      </c>
      <c r="E31">
        <v>1</v>
      </c>
      <c r="F31">
        <v>1</v>
      </c>
      <c r="G31">
        <v>1</v>
      </c>
      <c r="H31">
        <v>2</v>
      </c>
      <c r="I31" t="s">
        <v>391</v>
      </c>
      <c r="J31" t="s">
        <v>392</v>
      </c>
      <c r="K31" t="s">
        <v>393</v>
      </c>
      <c r="L31">
        <v>1368</v>
      </c>
      <c r="N31">
        <v>91022270</v>
      </c>
      <c r="O31" t="s">
        <v>331</v>
      </c>
      <c r="P31" t="s">
        <v>331</v>
      </c>
      <c r="Q31">
        <v>1</v>
      </c>
      <c r="X31">
        <v>88.16</v>
      </c>
      <c r="Y31">
        <v>0</v>
      </c>
      <c r="Z31">
        <v>1.53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88.16</v>
      </c>
      <c r="AH31">
        <v>2</v>
      </c>
      <c r="AI31">
        <v>502573202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35">
      <c r="A32">
        <f>ROW(Source!A34)</f>
        <v>34</v>
      </c>
      <c r="B32">
        <v>502572324</v>
      </c>
      <c r="C32">
        <v>502572323</v>
      </c>
      <c r="D32">
        <v>37773610</v>
      </c>
      <c r="E32">
        <v>1</v>
      </c>
      <c r="F32">
        <v>1</v>
      </c>
      <c r="G32">
        <v>1</v>
      </c>
      <c r="H32">
        <v>1</v>
      </c>
      <c r="I32" t="s">
        <v>394</v>
      </c>
      <c r="K32" t="s">
        <v>395</v>
      </c>
      <c r="L32">
        <v>1369</v>
      </c>
      <c r="N32">
        <v>1013</v>
      </c>
      <c r="O32" t="s">
        <v>325</v>
      </c>
      <c r="P32" t="s">
        <v>325</v>
      </c>
      <c r="Q32">
        <v>1</v>
      </c>
      <c r="X32">
        <v>15.72</v>
      </c>
      <c r="Y32">
        <v>0</v>
      </c>
      <c r="Z32">
        <v>0</v>
      </c>
      <c r="AA32">
        <v>0</v>
      </c>
      <c r="AB32">
        <v>8.02</v>
      </c>
      <c r="AC32">
        <v>0</v>
      </c>
      <c r="AD32">
        <v>1</v>
      </c>
      <c r="AE32">
        <v>1</v>
      </c>
      <c r="AF32" t="s">
        <v>64</v>
      </c>
      <c r="AG32">
        <v>18.077999999999999</v>
      </c>
      <c r="AH32">
        <v>2</v>
      </c>
      <c r="AI32">
        <v>502572324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35">
      <c r="A33">
        <f>ROW(Source!A34)</f>
        <v>34</v>
      </c>
      <c r="B33">
        <v>502572325</v>
      </c>
      <c r="C33">
        <v>502572323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72</v>
      </c>
      <c r="K33" t="s">
        <v>326</v>
      </c>
      <c r="L33">
        <v>608254</v>
      </c>
      <c r="N33">
        <v>1013</v>
      </c>
      <c r="O33" t="s">
        <v>327</v>
      </c>
      <c r="P33" t="s">
        <v>327</v>
      </c>
      <c r="Q33">
        <v>1</v>
      </c>
      <c r="X33">
        <v>13.88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63</v>
      </c>
      <c r="AG33">
        <v>17.350000000000001</v>
      </c>
      <c r="AH33">
        <v>2</v>
      </c>
      <c r="AI33">
        <v>502572325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35">
      <c r="A34">
        <f>ROW(Source!A34)</f>
        <v>34</v>
      </c>
      <c r="B34">
        <v>502572326</v>
      </c>
      <c r="C34">
        <v>502572323</v>
      </c>
      <c r="D34">
        <v>338036908</v>
      </c>
      <c r="E34">
        <v>1</v>
      </c>
      <c r="F34">
        <v>1</v>
      </c>
      <c r="G34">
        <v>1</v>
      </c>
      <c r="H34">
        <v>2</v>
      </c>
      <c r="I34" t="s">
        <v>343</v>
      </c>
      <c r="J34" t="s">
        <v>344</v>
      </c>
      <c r="K34" t="s">
        <v>345</v>
      </c>
      <c r="L34">
        <v>1368</v>
      </c>
      <c r="N34">
        <v>91022270</v>
      </c>
      <c r="O34" t="s">
        <v>331</v>
      </c>
      <c r="P34" t="s">
        <v>331</v>
      </c>
      <c r="Q34">
        <v>1</v>
      </c>
      <c r="X34">
        <v>4.29</v>
      </c>
      <c r="Y34">
        <v>0</v>
      </c>
      <c r="Z34">
        <v>99.89</v>
      </c>
      <c r="AA34">
        <v>10.06</v>
      </c>
      <c r="AB34">
        <v>0</v>
      </c>
      <c r="AC34">
        <v>0</v>
      </c>
      <c r="AD34">
        <v>1</v>
      </c>
      <c r="AE34">
        <v>0</v>
      </c>
      <c r="AF34" t="s">
        <v>63</v>
      </c>
      <c r="AG34">
        <v>5.3624999999999998</v>
      </c>
      <c r="AH34">
        <v>2</v>
      </c>
      <c r="AI34">
        <v>502572326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35">
      <c r="A35">
        <f>ROW(Source!A34)</f>
        <v>34</v>
      </c>
      <c r="B35">
        <v>502572327</v>
      </c>
      <c r="C35">
        <v>502572323</v>
      </c>
      <c r="D35">
        <v>338037611</v>
      </c>
      <c r="E35">
        <v>1</v>
      </c>
      <c r="F35">
        <v>1</v>
      </c>
      <c r="G35">
        <v>1</v>
      </c>
      <c r="H35">
        <v>2</v>
      </c>
      <c r="I35" t="s">
        <v>349</v>
      </c>
      <c r="J35" t="s">
        <v>350</v>
      </c>
      <c r="K35" t="s">
        <v>351</v>
      </c>
      <c r="L35">
        <v>1368</v>
      </c>
      <c r="N35">
        <v>91022270</v>
      </c>
      <c r="O35" t="s">
        <v>331</v>
      </c>
      <c r="P35" t="s">
        <v>331</v>
      </c>
      <c r="Q35">
        <v>1</v>
      </c>
      <c r="X35">
        <v>1.77</v>
      </c>
      <c r="Y35">
        <v>0</v>
      </c>
      <c r="Z35">
        <v>123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63</v>
      </c>
      <c r="AG35">
        <v>2.2124999999999999</v>
      </c>
      <c r="AH35">
        <v>2</v>
      </c>
      <c r="AI35">
        <v>502572327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35">
      <c r="A36">
        <f>ROW(Source!A34)</f>
        <v>34</v>
      </c>
      <c r="B36">
        <v>502572328</v>
      </c>
      <c r="C36">
        <v>502572323</v>
      </c>
      <c r="D36">
        <v>338037661</v>
      </c>
      <c r="E36">
        <v>1</v>
      </c>
      <c r="F36">
        <v>1</v>
      </c>
      <c r="G36">
        <v>1</v>
      </c>
      <c r="H36">
        <v>2</v>
      </c>
      <c r="I36" t="s">
        <v>396</v>
      </c>
      <c r="J36" t="s">
        <v>397</v>
      </c>
      <c r="K36" t="s">
        <v>398</v>
      </c>
      <c r="L36">
        <v>1368</v>
      </c>
      <c r="N36">
        <v>91022270</v>
      </c>
      <c r="O36" t="s">
        <v>331</v>
      </c>
      <c r="P36" t="s">
        <v>331</v>
      </c>
      <c r="Q36">
        <v>1</v>
      </c>
      <c r="X36">
        <v>7.08</v>
      </c>
      <c r="Y36">
        <v>0</v>
      </c>
      <c r="Z36">
        <v>206.01</v>
      </c>
      <c r="AA36">
        <v>14.4</v>
      </c>
      <c r="AB36">
        <v>0</v>
      </c>
      <c r="AC36">
        <v>0</v>
      </c>
      <c r="AD36">
        <v>1</v>
      </c>
      <c r="AE36">
        <v>0</v>
      </c>
      <c r="AF36" t="s">
        <v>63</v>
      </c>
      <c r="AG36">
        <v>8.85</v>
      </c>
      <c r="AH36">
        <v>2</v>
      </c>
      <c r="AI36">
        <v>502572328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35">
      <c r="A37">
        <f>ROW(Source!A34)</f>
        <v>34</v>
      </c>
      <c r="B37">
        <v>502572329</v>
      </c>
      <c r="C37">
        <v>502572323</v>
      </c>
      <c r="D37">
        <v>338037719</v>
      </c>
      <c r="E37">
        <v>1</v>
      </c>
      <c r="F37">
        <v>1</v>
      </c>
      <c r="G37">
        <v>1</v>
      </c>
      <c r="H37">
        <v>2</v>
      </c>
      <c r="I37" t="s">
        <v>399</v>
      </c>
      <c r="J37" t="s">
        <v>400</v>
      </c>
      <c r="K37" t="s">
        <v>401</v>
      </c>
      <c r="L37">
        <v>1368</v>
      </c>
      <c r="N37">
        <v>91022270</v>
      </c>
      <c r="O37" t="s">
        <v>331</v>
      </c>
      <c r="P37" t="s">
        <v>331</v>
      </c>
      <c r="Q37">
        <v>1</v>
      </c>
      <c r="X37">
        <v>0.74</v>
      </c>
      <c r="Y37">
        <v>0</v>
      </c>
      <c r="Z37">
        <v>110</v>
      </c>
      <c r="AA37">
        <v>11.6</v>
      </c>
      <c r="AB37">
        <v>0</v>
      </c>
      <c r="AC37">
        <v>0</v>
      </c>
      <c r="AD37">
        <v>1</v>
      </c>
      <c r="AE37">
        <v>0</v>
      </c>
      <c r="AF37" t="s">
        <v>63</v>
      </c>
      <c r="AG37">
        <v>0.92500000000000004</v>
      </c>
      <c r="AH37">
        <v>2</v>
      </c>
      <c r="AI37">
        <v>502572329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35">
      <c r="A38">
        <f>ROW(Source!A34)</f>
        <v>34</v>
      </c>
      <c r="B38">
        <v>502572330</v>
      </c>
      <c r="C38">
        <v>502572323</v>
      </c>
      <c r="D38">
        <v>338014027</v>
      </c>
      <c r="E38">
        <v>1</v>
      </c>
      <c r="F38">
        <v>1</v>
      </c>
      <c r="G38">
        <v>1</v>
      </c>
      <c r="H38">
        <v>3</v>
      </c>
      <c r="I38" t="s">
        <v>438</v>
      </c>
      <c r="J38" t="s">
        <v>439</v>
      </c>
      <c r="K38" t="s">
        <v>440</v>
      </c>
      <c r="L38">
        <v>1339</v>
      </c>
      <c r="N38">
        <v>1007</v>
      </c>
      <c r="O38" t="s">
        <v>112</v>
      </c>
      <c r="P38" t="s">
        <v>112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G38">
        <v>0</v>
      </c>
      <c r="AH38">
        <v>3</v>
      </c>
      <c r="AI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35">
      <c r="A39">
        <f>ROW(Source!A34)</f>
        <v>34</v>
      </c>
      <c r="B39">
        <v>502572331</v>
      </c>
      <c r="C39">
        <v>502572323</v>
      </c>
      <c r="D39">
        <v>338014469</v>
      </c>
      <c r="E39">
        <v>1</v>
      </c>
      <c r="F39">
        <v>1</v>
      </c>
      <c r="G39">
        <v>1</v>
      </c>
      <c r="H39">
        <v>3</v>
      </c>
      <c r="I39" t="s">
        <v>402</v>
      </c>
      <c r="J39" t="s">
        <v>403</v>
      </c>
      <c r="K39" t="s">
        <v>404</v>
      </c>
      <c r="L39">
        <v>1339</v>
      </c>
      <c r="N39">
        <v>1007</v>
      </c>
      <c r="O39" t="s">
        <v>112</v>
      </c>
      <c r="P39" t="s">
        <v>112</v>
      </c>
      <c r="Q39">
        <v>1</v>
      </c>
      <c r="X39">
        <v>5</v>
      </c>
      <c r="Y39">
        <v>2.44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5</v>
      </c>
      <c r="AH39">
        <v>2</v>
      </c>
      <c r="AI39">
        <v>502572331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35">
      <c r="A40">
        <f>ROW(Source!A36)</f>
        <v>36</v>
      </c>
      <c r="B40">
        <v>502572334</v>
      </c>
      <c r="C40">
        <v>502572333</v>
      </c>
      <c r="D40">
        <v>37775544</v>
      </c>
      <c r="E40">
        <v>1</v>
      </c>
      <c r="F40">
        <v>1</v>
      </c>
      <c r="G40">
        <v>1</v>
      </c>
      <c r="H40">
        <v>1</v>
      </c>
      <c r="I40" t="s">
        <v>405</v>
      </c>
      <c r="K40" t="s">
        <v>406</v>
      </c>
      <c r="L40">
        <v>1369</v>
      </c>
      <c r="N40">
        <v>1013</v>
      </c>
      <c r="O40" t="s">
        <v>325</v>
      </c>
      <c r="P40" t="s">
        <v>325</v>
      </c>
      <c r="Q40">
        <v>1</v>
      </c>
      <c r="X40">
        <v>24.19</v>
      </c>
      <c r="Y40">
        <v>0</v>
      </c>
      <c r="Z40">
        <v>0</v>
      </c>
      <c r="AA40">
        <v>0</v>
      </c>
      <c r="AB40">
        <v>8.09</v>
      </c>
      <c r="AC40">
        <v>0</v>
      </c>
      <c r="AD40">
        <v>1</v>
      </c>
      <c r="AE40">
        <v>1</v>
      </c>
      <c r="AF40" t="s">
        <v>64</v>
      </c>
      <c r="AG40">
        <v>27.8185</v>
      </c>
      <c r="AH40">
        <v>2</v>
      </c>
      <c r="AI40">
        <v>502572334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35">
      <c r="A41">
        <f>ROW(Source!A36)</f>
        <v>36</v>
      </c>
      <c r="B41">
        <v>502572335</v>
      </c>
      <c r="C41">
        <v>502572333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72</v>
      </c>
      <c r="K41" t="s">
        <v>326</v>
      </c>
      <c r="L41">
        <v>608254</v>
      </c>
      <c r="N41">
        <v>1013</v>
      </c>
      <c r="O41" t="s">
        <v>327</v>
      </c>
      <c r="P41" t="s">
        <v>327</v>
      </c>
      <c r="Q41">
        <v>1</v>
      </c>
      <c r="X41">
        <v>20.6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63</v>
      </c>
      <c r="AG41">
        <v>25.75</v>
      </c>
      <c r="AH41">
        <v>2</v>
      </c>
      <c r="AI41">
        <v>502572335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35">
      <c r="A42">
        <f>ROW(Source!A36)</f>
        <v>36</v>
      </c>
      <c r="B42">
        <v>502572336</v>
      </c>
      <c r="C42">
        <v>502572333</v>
      </c>
      <c r="D42">
        <v>338036908</v>
      </c>
      <c r="E42">
        <v>1</v>
      </c>
      <c r="F42">
        <v>1</v>
      </c>
      <c r="G42">
        <v>1</v>
      </c>
      <c r="H42">
        <v>2</v>
      </c>
      <c r="I42" t="s">
        <v>343</v>
      </c>
      <c r="J42" t="s">
        <v>344</v>
      </c>
      <c r="K42" t="s">
        <v>345</v>
      </c>
      <c r="L42">
        <v>1368</v>
      </c>
      <c r="N42">
        <v>91022270</v>
      </c>
      <c r="O42" t="s">
        <v>331</v>
      </c>
      <c r="P42" t="s">
        <v>331</v>
      </c>
      <c r="Q42">
        <v>1</v>
      </c>
      <c r="X42">
        <v>2.46</v>
      </c>
      <c r="Y42">
        <v>0</v>
      </c>
      <c r="Z42">
        <v>99.89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63</v>
      </c>
      <c r="AG42">
        <v>3.0750000000000002</v>
      </c>
      <c r="AH42">
        <v>2</v>
      </c>
      <c r="AI42">
        <v>502572336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35">
      <c r="A43">
        <f>ROW(Source!A36)</f>
        <v>36</v>
      </c>
      <c r="B43">
        <v>502572337</v>
      </c>
      <c r="C43">
        <v>502572333</v>
      </c>
      <c r="D43">
        <v>338037300</v>
      </c>
      <c r="E43">
        <v>1</v>
      </c>
      <c r="F43">
        <v>1</v>
      </c>
      <c r="G43">
        <v>1</v>
      </c>
      <c r="H43">
        <v>2</v>
      </c>
      <c r="I43" t="s">
        <v>332</v>
      </c>
      <c r="J43" t="s">
        <v>333</v>
      </c>
      <c r="K43" t="s">
        <v>334</v>
      </c>
      <c r="L43">
        <v>1368</v>
      </c>
      <c r="N43">
        <v>91022270</v>
      </c>
      <c r="O43" t="s">
        <v>331</v>
      </c>
      <c r="P43" t="s">
        <v>331</v>
      </c>
      <c r="Q43">
        <v>1</v>
      </c>
      <c r="X43">
        <v>2.59</v>
      </c>
      <c r="Y43">
        <v>0</v>
      </c>
      <c r="Z43">
        <v>80.010000000000005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63</v>
      </c>
      <c r="AG43">
        <v>3.2374999999999998</v>
      </c>
      <c r="AH43">
        <v>2</v>
      </c>
      <c r="AI43">
        <v>502572337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35">
      <c r="A44">
        <f>ROW(Source!A36)</f>
        <v>36</v>
      </c>
      <c r="B44">
        <v>502572338</v>
      </c>
      <c r="C44">
        <v>502572333</v>
      </c>
      <c r="D44">
        <v>338037611</v>
      </c>
      <c r="E44">
        <v>1</v>
      </c>
      <c r="F44">
        <v>1</v>
      </c>
      <c r="G44">
        <v>1</v>
      </c>
      <c r="H44">
        <v>2</v>
      </c>
      <c r="I44" t="s">
        <v>349</v>
      </c>
      <c r="J44" t="s">
        <v>350</v>
      </c>
      <c r="K44" t="s">
        <v>351</v>
      </c>
      <c r="L44">
        <v>1368</v>
      </c>
      <c r="N44">
        <v>91022270</v>
      </c>
      <c r="O44" t="s">
        <v>331</v>
      </c>
      <c r="P44" t="s">
        <v>331</v>
      </c>
      <c r="Q44">
        <v>1</v>
      </c>
      <c r="X44">
        <v>2.2999999999999998</v>
      </c>
      <c r="Y44">
        <v>0</v>
      </c>
      <c r="Z44">
        <v>123</v>
      </c>
      <c r="AA44">
        <v>13.5</v>
      </c>
      <c r="AB44">
        <v>0</v>
      </c>
      <c r="AC44">
        <v>0</v>
      </c>
      <c r="AD44">
        <v>1</v>
      </c>
      <c r="AE44">
        <v>0</v>
      </c>
      <c r="AF44" t="s">
        <v>63</v>
      </c>
      <c r="AG44">
        <v>2.875</v>
      </c>
      <c r="AH44">
        <v>2</v>
      </c>
      <c r="AI44">
        <v>502572338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35">
      <c r="A45">
        <f>ROW(Source!A36)</f>
        <v>36</v>
      </c>
      <c r="B45">
        <v>502572339</v>
      </c>
      <c r="C45">
        <v>502572333</v>
      </c>
      <c r="D45">
        <v>338037661</v>
      </c>
      <c r="E45">
        <v>1</v>
      </c>
      <c r="F45">
        <v>1</v>
      </c>
      <c r="G45">
        <v>1</v>
      </c>
      <c r="H45">
        <v>2</v>
      </c>
      <c r="I45" t="s">
        <v>396</v>
      </c>
      <c r="J45" t="s">
        <v>397</v>
      </c>
      <c r="K45" t="s">
        <v>398</v>
      </c>
      <c r="L45">
        <v>1368</v>
      </c>
      <c r="N45">
        <v>91022270</v>
      </c>
      <c r="O45" t="s">
        <v>331</v>
      </c>
      <c r="P45" t="s">
        <v>331</v>
      </c>
      <c r="Q45">
        <v>1</v>
      </c>
      <c r="X45">
        <v>12.21</v>
      </c>
      <c r="Y45">
        <v>0</v>
      </c>
      <c r="Z45">
        <v>206.01</v>
      </c>
      <c r="AA45">
        <v>14.4</v>
      </c>
      <c r="AB45">
        <v>0</v>
      </c>
      <c r="AC45">
        <v>0</v>
      </c>
      <c r="AD45">
        <v>1</v>
      </c>
      <c r="AE45">
        <v>0</v>
      </c>
      <c r="AF45" t="s">
        <v>63</v>
      </c>
      <c r="AG45">
        <v>15.262499999999999</v>
      </c>
      <c r="AH45">
        <v>2</v>
      </c>
      <c r="AI45">
        <v>502572339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35">
      <c r="A46">
        <f>ROW(Source!A36)</f>
        <v>36</v>
      </c>
      <c r="B46">
        <v>502572340</v>
      </c>
      <c r="C46">
        <v>502572333</v>
      </c>
      <c r="D46">
        <v>338037719</v>
      </c>
      <c r="E46">
        <v>1</v>
      </c>
      <c r="F46">
        <v>1</v>
      </c>
      <c r="G46">
        <v>1</v>
      </c>
      <c r="H46">
        <v>2</v>
      </c>
      <c r="I46" t="s">
        <v>399</v>
      </c>
      <c r="J46" t="s">
        <v>400</v>
      </c>
      <c r="K46" t="s">
        <v>401</v>
      </c>
      <c r="L46">
        <v>1368</v>
      </c>
      <c r="N46">
        <v>91022270</v>
      </c>
      <c r="O46" t="s">
        <v>331</v>
      </c>
      <c r="P46" t="s">
        <v>331</v>
      </c>
      <c r="Q46">
        <v>1</v>
      </c>
      <c r="X46">
        <v>1.04</v>
      </c>
      <c r="Y46">
        <v>0</v>
      </c>
      <c r="Z46">
        <v>110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63</v>
      </c>
      <c r="AG46">
        <v>1.3</v>
      </c>
      <c r="AH46">
        <v>2</v>
      </c>
      <c r="AI46">
        <v>502572340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35">
      <c r="A47">
        <f>ROW(Source!A36)</f>
        <v>36</v>
      </c>
      <c r="B47">
        <v>502572341</v>
      </c>
      <c r="C47">
        <v>502572333</v>
      </c>
      <c r="D47">
        <v>338013868</v>
      </c>
      <c r="E47">
        <v>1</v>
      </c>
      <c r="F47">
        <v>1</v>
      </c>
      <c r="G47">
        <v>1</v>
      </c>
      <c r="H47">
        <v>3</v>
      </c>
      <c r="I47" t="s">
        <v>441</v>
      </c>
      <c r="J47" t="s">
        <v>442</v>
      </c>
      <c r="K47" t="s">
        <v>443</v>
      </c>
      <c r="L47">
        <v>1339</v>
      </c>
      <c r="N47">
        <v>1007</v>
      </c>
      <c r="O47" t="s">
        <v>112</v>
      </c>
      <c r="P47" t="s">
        <v>112</v>
      </c>
      <c r="Q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G47">
        <v>0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35">
      <c r="A48">
        <f>ROW(Source!A36)</f>
        <v>36</v>
      </c>
      <c r="B48">
        <v>502572342</v>
      </c>
      <c r="C48">
        <v>502572333</v>
      </c>
      <c r="D48">
        <v>338014469</v>
      </c>
      <c r="E48">
        <v>1</v>
      </c>
      <c r="F48">
        <v>1</v>
      </c>
      <c r="G48">
        <v>1</v>
      </c>
      <c r="H48">
        <v>3</v>
      </c>
      <c r="I48" t="s">
        <v>402</v>
      </c>
      <c r="J48" t="s">
        <v>403</v>
      </c>
      <c r="K48" t="s">
        <v>404</v>
      </c>
      <c r="L48">
        <v>1339</v>
      </c>
      <c r="N48">
        <v>1007</v>
      </c>
      <c r="O48" t="s">
        <v>112</v>
      </c>
      <c r="P48" t="s">
        <v>112</v>
      </c>
      <c r="Q48">
        <v>1</v>
      </c>
      <c r="X48">
        <v>7</v>
      </c>
      <c r="Y48">
        <v>2.44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7</v>
      </c>
      <c r="AH48">
        <v>2</v>
      </c>
      <c r="AI48">
        <v>502572342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35">
      <c r="A49">
        <f>ROW(Source!A38)</f>
        <v>38</v>
      </c>
      <c r="B49">
        <v>502573204</v>
      </c>
      <c r="C49">
        <v>502573203</v>
      </c>
      <c r="D49">
        <v>37776094</v>
      </c>
      <c r="E49">
        <v>1</v>
      </c>
      <c r="F49">
        <v>1</v>
      </c>
      <c r="G49">
        <v>1</v>
      </c>
      <c r="H49">
        <v>1</v>
      </c>
      <c r="I49" t="s">
        <v>341</v>
      </c>
      <c r="K49" t="s">
        <v>342</v>
      </c>
      <c r="L49">
        <v>1369</v>
      </c>
      <c r="N49">
        <v>1013</v>
      </c>
      <c r="O49" t="s">
        <v>325</v>
      </c>
      <c r="P49" t="s">
        <v>325</v>
      </c>
      <c r="Q49">
        <v>1</v>
      </c>
      <c r="X49">
        <v>179.8</v>
      </c>
      <c r="Y49">
        <v>0</v>
      </c>
      <c r="Z49">
        <v>0</v>
      </c>
      <c r="AA49">
        <v>0</v>
      </c>
      <c r="AB49">
        <v>8.31</v>
      </c>
      <c r="AC49">
        <v>0</v>
      </c>
      <c r="AD49">
        <v>1</v>
      </c>
      <c r="AE49">
        <v>1</v>
      </c>
      <c r="AG49">
        <v>179.8</v>
      </c>
      <c r="AH49">
        <v>2</v>
      </c>
      <c r="AI49">
        <v>502573204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35">
      <c r="A50">
        <f>ROW(Source!A38)</f>
        <v>38</v>
      </c>
      <c r="B50">
        <v>502573205</v>
      </c>
      <c r="C50">
        <v>502573203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72</v>
      </c>
      <c r="K50" t="s">
        <v>326</v>
      </c>
      <c r="L50">
        <v>608254</v>
      </c>
      <c r="N50">
        <v>1013</v>
      </c>
      <c r="O50" t="s">
        <v>327</v>
      </c>
      <c r="P50" t="s">
        <v>327</v>
      </c>
      <c r="Q50">
        <v>1</v>
      </c>
      <c r="X50">
        <v>45.63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G50">
        <v>45.63</v>
      </c>
      <c r="AH50">
        <v>2</v>
      </c>
      <c r="AI50">
        <v>502573205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35">
      <c r="A51">
        <f>ROW(Source!A38)</f>
        <v>38</v>
      </c>
      <c r="B51">
        <v>502573206</v>
      </c>
      <c r="C51">
        <v>502573203</v>
      </c>
      <c r="D51">
        <v>338037139</v>
      </c>
      <c r="E51">
        <v>1</v>
      </c>
      <c r="F51">
        <v>1</v>
      </c>
      <c r="G51">
        <v>1</v>
      </c>
      <c r="H51">
        <v>2</v>
      </c>
      <c r="I51" t="s">
        <v>388</v>
      </c>
      <c r="J51" t="s">
        <v>389</v>
      </c>
      <c r="K51" t="s">
        <v>390</v>
      </c>
      <c r="L51">
        <v>1368</v>
      </c>
      <c r="N51">
        <v>91022270</v>
      </c>
      <c r="O51" t="s">
        <v>331</v>
      </c>
      <c r="P51" t="s">
        <v>331</v>
      </c>
      <c r="Q51">
        <v>1</v>
      </c>
      <c r="X51">
        <v>44.08</v>
      </c>
      <c r="Y51">
        <v>0</v>
      </c>
      <c r="Z51">
        <v>46.56</v>
      </c>
      <c r="AA51">
        <v>10.06</v>
      </c>
      <c r="AB51">
        <v>0</v>
      </c>
      <c r="AC51">
        <v>0</v>
      </c>
      <c r="AD51">
        <v>1</v>
      </c>
      <c r="AE51">
        <v>0</v>
      </c>
      <c r="AG51">
        <v>44.08</v>
      </c>
      <c r="AH51">
        <v>2</v>
      </c>
      <c r="AI51">
        <v>502573206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35">
      <c r="A52">
        <f>ROW(Source!A38)</f>
        <v>38</v>
      </c>
      <c r="B52">
        <v>502573207</v>
      </c>
      <c r="C52">
        <v>502573203</v>
      </c>
      <c r="D52">
        <v>338037611</v>
      </c>
      <c r="E52">
        <v>1</v>
      </c>
      <c r="F52">
        <v>1</v>
      </c>
      <c r="G52">
        <v>1</v>
      </c>
      <c r="H52">
        <v>2</v>
      </c>
      <c r="I52" t="s">
        <v>349</v>
      </c>
      <c r="J52" t="s">
        <v>350</v>
      </c>
      <c r="K52" t="s">
        <v>351</v>
      </c>
      <c r="L52">
        <v>1368</v>
      </c>
      <c r="N52">
        <v>91022270</v>
      </c>
      <c r="O52" t="s">
        <v>331</v>
      </c>
      <c r="P52" t="s">
        <v>331</v>
      </c>
      <c r="Q52">
        <v>1</v>
      </c>
      <c r="X52">
        <v>1.55</v>
      </c>
      <c r="Y52">
        <v>0</v>
      </c>
      <c r="Z52">
        <v>123</v>
      </c>
      <c r="AA52">
        <v>13.5</v>
      </c>
      <c r="AB52">
        <v>0</v>
      </c>
      <c r="AC52">
        <v>0</v>
      </c>
      <c r="AD52">
        <v>1</v>
      </c>
      <c r="AE52">
        <v>0</v>
      </c>
      <c r="AG52">
        <v>1.55</v>
      </c>
      <c r="AH52">
        <v>2</v>
      </c>
      <c r="AI52">
        <v>502573207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35">
      <c r="A53">
        <f>ROW(Source!A38)</f>
        <v>38</v>
      </c>
      <c r="B53">
        <v>502573208</v>
      </c>
      <c r="C53">
        <v>502573203</v>
      </c>
      <c r="D53">
        <v>338038962</v>
      </c>
      <c r="E53">
        <v>1</v>
      </c>
      <c r="F53">
        <v>1</v>
      </c>
      <c r="G53">
        <v>1</v>
      </c>
      <c r="H53">
        <v>2</v>
      </c>
      <c r="I53" t="s">
        <v>391</v>
      </c>
      <c r="J53" t="s">
        <v>392</v>
      </c>
      <c r="K53" t="s">
        <v>393</v>
      </c>
      <c r="L53">
        <v>1368</v>
      </c>
      <c r="N53">
        <v>91022270</v>
      </c>
      <c r="O53" t="s">
        <v>331</v>
      </c>
      <c r="P53" t="s">
        <v>331</v>
      </c>
      <c r="Q53">
        <v>1</v>
      </c>
      <c r="X53">
        <v>88.16</v>
      </c>
      <c r="Y53">
        <v>0</v>
      </c>
      <c r="Z53">
        <v>1.53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88.16</v>
      </c>
      <c r="AH53">
        <v>2</v>
      </c>
      <c r="AI53">
        <v>502573208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35">
      <c r="A54">
        <f>ROW(Source!A39)</f>
        <v>39</v>
      </c>
      <c r="B54">
        <v>502573218</v>
      </c>
      <c r="C54">
        <v>502573209</v>
      </c>
      <c r="D54">
        <v>37773610</v>
      </c>
      <c r="E54">
        <v>1</v>
      </c>
      <c r="F54">
        <v>1</v>
      </c>
      <c r="G54">
        <v>1</v>
      </c>
      <c r="H54">
        <v>1</v>
      </c>
      <c r="I54" t="s">
        <v>394</v>
      </c>
      <c r="K54" t="s">
        <v>395</v>
      </c>
      <c r="L54">
        <v>1369</v>
      </c>
      <c r="N54">
        <v>1013</v>
      </c>
      <c r="O54" t="s">
        <v>325</v>
      </c>
      <c r="P54" t="s">
        <v>325</v>
      </c>
      <c r="Q54">
        <v>1</v>
      </c>
      <c r="X54">
        <v>15.72</v>
      </c>
      <c r="Y54">
        <v>0</v>
      </c>
      <c r="Z54">
        <v>0</v>
      </c>
      <c r="AA54">
        <v>0</v>
      </c>
      <c r="AB54">
        <v>8.02</v>
      </c>
      <c r="AC54">
        <v>0</v>
      </c>
      <c r="AD54">
        <v>1</v>
      </c>
      <c r="AE54">
        <v>1</v>
      </c>
      <c r="AF54" t="s">
        <v>64</v>
      </c>
      <c r="AG54">
        <v>18.077999999999999</v>
      </c>
      <c r="AH54">
        <v>2</v>
      </c>
      <c r="AI54">
        <v>502573210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35">
      <c r="A55">
        <f>ROW(Source!A39)</f>
        <v>39</v>
      </c>
      <c r="B55">
        <v>502573219</v>
      </c>
      <c r="C55">
        <v>502573209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72</v>
      </c>
      <c r="K55" t="s">
        <v>326</v>
      </c>
      <c r="L55">
        <v>608254</v>
      </c>
      <c r="N55">
        <v>1013</v>
      </c>
      <c r="O55" t="s">
        <v>327</v>
      </c>
      <c r="P55" t="s">
        <v>327</v>
      </c>
      <c r="Q55">
        <v>1</v>
      </c>
      <c r="X55">
        <v>13.88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63</v>
      </c>
      <c r="AG55">
        <v>17.350000000000001</v>
      </c>
      <c r="AH55">
        <v>2</v>
      </c>
      <c r="AI55">
        <v>502573211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35">
      <c r="A56">
        <f>ROW(Source!A39)</f>
        <v>39</v>
      </c>
      <c r="B56">
        <v>502573220</v>
      </c>
      <c r="C56">
        <v>502573209</v>
      </c>
      <c r="D56">
        <v>338036908</v>
      </c>
      <c r="E56">
        <v>1</v>
      </c>
      <c r="F56">
        <v>1</v>
      </c>
      <c r="G56">
        <v>1</v>
      </c>
      <c r="H56">
        <v>2</v>
      </c>
      <c r="I56" t="s">
        <v>343</v>
      </c>
      <c r="J56" t="s">
        <v>344</v>
      </c>
      <c r="K56" t="s">
        <v>345</v>
      </c>
      <c r="L56">
        <v>1368</v>
      </c>
      <c r="N56">
        <v>91022270</v>
      </c>
      <c r="O56" t="s">
        <v>331</v>
      </c>
      <c r="P56" t="s">
        <v>331</v>
      </c>
      <c r="Q56">
        <v>1</v>
      </c>
      <c r="X56">
        <v>4.29</v>
      </c>
      <c r="Y56">
        <v>0</v>
      </c>
      <c r="Z56">
        <v>99.89</v>
      </c>
      <c r="AA56">
        <v>10.06</v>
      </c>
      <c r="AB56">
        <v>0</v>
      </c>
      <c r="AC56">
        <v>0</v>
      </c>
      <c r="AD56">
        <v>1</v>
      </c>
      <c r="AE56">
        <v>0</v>
      </c>
      <c r="AF56" t="s">
        <v>63</v>
      </c>
      <c r="AG56">
        <v>5.3624999999999998</v>
      </c>
      <c r="AH56">
        <v>2</v>
      </c>
      <c r="AI56">
        <v>502573212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35">
      <c r="A57">
        <f>ROW(Source!A39)</f>
        <v>39</v>
      </c>
      <c r="B57">
        <v>502573221</v>
      </c>
      <c r="C57">
        <v>502573209</v>
      </c>
      <c r="D57">
        <v>338037611</v>
      </c>
      <c r="E57">
        <v>1</v>
      </c>
      <c r="F57">
        <v>1</v>
      </c>
      <c r="G57">
        <v>1</v>
      </c>
      <c r="H57">
        <v>2</v>
      </c>
      <c r="I57" t="s">
        <v>349</v>
      </c>
      <c r="J57" t="s">
        <v>350</v>
      </c>
      <c r="K57" t="s">
        <v>351</v>
      </c>
      <c r="L57">
        <v>1368</v>
      </c>
      <c r="N57">
        <v>91022270</v>
      </c>
      <c r="O57" t="s">
        <v>331</v>
      </c>
      <c r="P57" t="s">
        <v>331</v>
      </c>
      <c r="Q57">
        <v>1</v>
      </c>
      <c r="X57">
        <v>1.77</v>
      </c>
      <c r="Y57">
        <v>0</v>
      </c>
      <c r="Z57">
        <v>123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63</v>
      </c>
      <c r="AG57">
        <v>2.2124999999999999</v>
      </c>
      <c r="AH57">
        <v>2</v>
      </c>
      <c r="AI57">
        <v>502573213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35">
      <c r="A58">
        <f>ROW(Source!A39)</f>
        <v>39</v>
      </c>
      <c r="B58">
        <v>502573222</v>
      </c>
      <c r="C58">
        <v>502573209</v>
      </c>
      <c r="D58">
        <v>338037661</v>
      </c>
      <c r="E58">
        <v>1</v>
      </c>
      <c r="F58">
        <v>1</v>
      </c>
      <c r="G58">
        <v>1</v>
      </c>
      <c r="H58">
        <v>2</v>
      </c>
      <c r="I58" t="s">
        <v>396</v>
      </c>
      <c r="J58" t="s">
        <v>397</v>
      </c>
      <c r="K58" t="s">
        <v>398</v>
      </c>
      <c r="L58">
        <v>1368</v>
      </c>
      <c r="N58">
        <v>91022270</v>
      </c>
      <c r="O58" t="s">
        <v>331</v>
      </c>
      <c r="P58" t="s">
        <v>331</v>
      </c>
      <c r="Q58">
        <v>1</v>
      </c>
      <c r="X58">
        <v>7.08</v>
      </c>
      <c r="Y58">
        <v>0</v>
      </c>
      <c r="Z58">
        <v>206.01</v>
      </c>
      <c r="AA58">
        <v>14.4</v>
      </c>
      <c r="AB58">
        <v>0</v>
      </c>
      <c r="AC58">
        <v>0</v>
      </c>
      <c r="AD58">
        <v>1</v>
      </c>
      <c r="AE58">
        <v>0</v>
      </c>
      <c r="AF58" t="s">
        <v>63</v>
      </c>
      <c r="AG58">
        <v>8.85</v>
      </c>
      <c r="AH58">
        <v>2</v>
      </c>
      <c r="AI58">
        <v>502573214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35">
      <c r="A59">
        <f>ROW(Source!A39)</f>
        <v>39</v>
      </c>
      <c r="B59">
        <v>502573223</v>
      </c>
      <c r="C59">
        <v>502573209</v>
      </c>
      <c r="D59">
        <v>338037719</v>
      </c>
      <c r="E59">
        <v>1</v>
      </c>
      <c r="F59">
        <v>1</v>
      </c>
      <c r="G59">
        <v>1</v>
      </c>
      <c r="H59">
        <v>2</v>
      </c>
      <c r="I59" t="s">
        <v>399</v>
      </c>
      <c r="J59" t="s">
        <v>400</v>
      </c>
      <c r="K59" t="s">
        <v>401</v>
      </c>
      <c r="L59">
        <v>1368</v>
      </c>
      <c r="N59">
        <v>91022270</v>
      </c>
      <c r="O59" t="s">
        <v>331</v>
      </c>
      <c r="P59" t="s">
        <v>331</v>
      </c>
      <c r="Q59">
        <v>1</v>
      </c>
      <c r="X59">
        <v>0.74</v>
      </c>
      <c r="Y59">
        <v>0</v>
      </c>
      <c r="Z59">
        <v>110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63</v>
      </c>
      <c r="AG59">
        <v>0.92500000000000004</v>
      </c>
      <c r="AH59">
        <v>2</v>
      </c>
      <c r="AI59">
        <v>502573215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35">
      <c r="A60">
        <f>ROW(Source!A39)</f>
        <v>39</v>
      </c>
      <c r="B60">
        <v>502573224</v>
      </c>
      <c r="C60">
        <v>502573209</v>
      </c>
      <c r="D60">
        <v>338014027</v>
      </c>
      <c r="E60">
        <v>1</v>
      </c>
      <c r="F60">
        <v>1</v>
      </c>
      <c r="G60">
        <v>1</v>
      </c>
      <c r="H60">
        <v>3</v>
      </c>
      <c r="I60" t="s">
        <v>438</v>
      </c>
      <c r="J60" t="s">
        <v>439</v>
      </c>
      <c r="K60" t="s">
        <v>440</v>
      </c>
      <c r="L60">
        <v>1339</v>
      </c>
      <c r="N60">
        <v>1007</v>
      </c>
      <c r="O60" t="s">
        <v>112</v>
      </c>
      <c r="P60" t="s">
        <v>112</v>
      </c>
      <c r="Q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G60">
        <v>0</v>
      </c>
      <c r="AH60">
        <v>3</v>
      </c>
      <c r="AI60">
        <v>-1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35">
      <c r="A61">
        <f>ROW(Source!A39)</f>
        <v>39</v>
      </c>
      <c r="B61">
        <v>502573225</v>
      </c>
      <c r="C61">
        <v>502573209</v>
      </c>
      <c r="D61">
        <v>338014469</v>
      </c>
      <c r="E61">
        <v>1</v>
      </c>
      <c r="F61">
        <v>1</v>
      </c>
      <c r="G61">
        <v>1</v>
      </c>
      <c r="H61">
        <v>3</v>
      </c>
      <c r="I61" t="s">
        <v>402</v>
      </c>
      <c r="J61" t="s">
        <v>403</v>
      </c>
      <c r="K61" t="s">
        <v>404</v>
      </c>
      <c r="L61">
        <v>1339</v>
      </c>
      <c r="N61">
        <v>1007</v>
      </c>
      <c r="O61" t="s">
        <v>112</v>
      </c>
      <c r="P61" t="s">
        <v>112</v>
      </c>
      <c r="Q61">
        <v>1</v>
      </c>
      <c r="X61">
        <v>5</v>
      </c>
      <c r="Y61">
        <v>2.44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5</v>
      </c>
      <c r="AH61">
        <v>2</v>
      </c>
      <c r="AI61">
        <v>502573217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35">
      <c r="A62">
        <f>ROW(Source!A41)</f>
        <v>41</v>
      </c>
      <c r="B62">
        <v>502573237</v>
      </c>
      <c r="C62">
        <v>502573227</v>
      </c>
      <c r="D62">
        <v>37775544</v>
      </c>
      <c r="E62">
        <v>1</v>
      </c>
      <c r="F62">
        <v>1</v>
      </c>
      <c r="G62">
        <v>1</v>
      </c>
      <c r="H62">
        <v>1</v>
      </c>
      <c r="I62" t="s">
        <v>405</v>
      </c>
      <c r="K62" t="s">
        <v>406</v>
      </c>
      <c r="L62">
        <v>1369</v>
      </c>
      <c r="N62">
        <v>1013</v>
      </c>
      <c r="O62" t="s">
        <v>325</v>
      </c>
      <c r="P62" t="s">
        <v>325</v>
      </c>
      <c r="Q62">
        <v>1</v>
      </c>
      <c r="X62">
        <v>24.19</v>
      </c>
      <c r="Y62">
        <v>0</v>
      </c>
      <c r="Z62">
        <v>0</v>
      </c>
      <c r="AA62">
        <v>0</v>
      </c>
      <c r="AB62">
        <v>8.09</v>
      </c>
      <c r="AC62">
        <v>0</v>
      </c>
      <c r="AD62">
        <v>1</v>
      </c>
      <c r="AE62">
        <v>1</v>
      </c>
      <c r="AF62" t="s">
        <v>64</v>
      </c>
      <c r="AG62">
        <v>27.8185</v>
      </c>
      <c r="AH62">
        <v>2</v>
      </c>
      <c r="AI62">
        <v>502573228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35">
      <c r="A63">
        <f>ROW(Source!A41)</f>
        <v>41</v>
      </c>
      <c r="B63">
        <v>502573238</v>
      </c>
      <c r="C63">
        <v>502573227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72</v>
      </c>
      <c r="K63" t="s">
        <v>326</v>
      </c>
      <c r="L63">
        <v>608254</v>
      </c>
      <c r="N63">
        <v>1013</v>
      </c>
      <c r="O63" t="s">
        <v>327</v>
      </c>
      <c r="P63" t="s">
        <v>327</v>
      </c>
      <c r="Q63">
        <v>1</v>
      </c>
      <c r="X63">
        <v>20.6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63</v>
      </c>
      <c r="AG63">
        <v>25.75</v>
      </c>
      <c r="AH63">
        <v>2</v>
      </c>
      <c r="AI63">
        <v>502573229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35">
      <c r="A64">
        <f>ROW(Source!A41)</f>
        <v>41</v>
      </c>
      <c r="B64">
        <v>502573239</v>
      </c>
      <c r="C64">
        <v>502573227</v>
      </c>
      <c r="D64">
        <v>338036908</v>
      </c>
      <c r="E64">
        <v>1</v>
      </c>
      <c r="F64">
        <v>1</v>
      </c>
      <c r="G64">
        <v>1</v>
      </c>
      <c r="H64">
        <v>2</v>
      </c>
      <c r="I64" t="s">
        <v>343</v>
      </c>
      <c r="J64" t="s">
        <v>344</v>
      </c>
      <c r="K64" t="s">
        <v>345</v>
      </c>
      <c r="L64">
        <v>1368</v>
      </c>
      <c r="N64">
        <v>91022270</v>
      </c>
      <c r="O64" t="s">
        <v>331</v>
      </c>
      <c r="P64" t="s">
        <v>331</v>
      </c>
      <c r="Q64">
        <v>1</v>
      </c>
      <c r="X64">
        <v>2.46</v>
      </c>
      <c r="Y64">
        <v>0</v>
      </c>
      <c r="Z64">
        <v>99.89</v>
      </c>
      <c r="AA64">
        <v>10.06</v>
      </c>
      <c r="AB64">
        <v>0</v>
      </c>
      <c r="AC64">
        <v>0</v>
      </c>
      <c r="AD64">
        <v>1</v>
      </c>
      <c r="AE64">
        <v>0</v>
      </c>
      <c r="AF64" t="s">
        <v>63</v>
      </c>
      <c r="AG64">
        <v>3.0750000000000002</v>
      </c>
      <c r="AH64">
        <v>2</v>
      </c>
      <c r="AI64">
        <v>502573230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35">
      <c r="A65">
        <f>ROW(Source!A41)</f>
        <v>41</v>
      </c>
      <c r="B65">
        <v>502573240</v>
      </c>
      <c r="C65">
        <v>502573227</v>
      </c>
      <c r="D65">
        <v>338037300</v>
      </c>
      <c r="E65">
        <v>1</v>
      </c>
      <c r="F65">
        <v>1</v>
      </c>
      <c r="G65">
        <v>1</v>
      </c>
      <c r="H65">
        <v>2</v>
      </c>
      <c r="I65" t="s">
        <v>332</v>
      </c>
      <c r="J65" t="s">
        <v>333</v>
      </c>
      <c r="K65" t="s">
        <v>334</v>
      </c>
      <c r="L65">
        <v>1368</v>
      </c>
      <c r="N65">
        <v>91022270</v>
      </c>
      <c r="O65" t="s">
        <v>331</v>
      </c>
      <c r="P65" t="s">
        <v>331</v>
      </c>
      <c r="Q65">
        <v>1</v>
      </c>
      <c r="X65">
        <v>2.59</v>
      </c>
      <c r="Y65">
        <v>0</v>
      </c>
      <c r="Z65">
        <v>80.010000000000005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63</v>
      </c>
      <c r="AG65">
        <v>3.2374999999999998</v>
      </c>
      <c r="AH65">
        <v>2</v>
      </c>
      <c r="AI65">
        <v>502573231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35">
      <c r="A66">
        <f>ROW(Source!A41)</f>
        <v>41</v>
      </c>
      <c r="B66">
        <v>502573241</v>
      </c>
      <c r="C66">
        <v>502573227</v>
      </c>
      <c r="D66">
        <v>338037611</v>
      </c>
      <c r="E66">
        <v>1</v>
      </c>
      <c r="F66">
        <v>1</v>
      </c>
      <c r="G66">
        <v>1</v>
      </c>
      <c r="H66">
        <v>2</v>
      </c>
      <c r="I66" t="s">
        <v>349</v>
      </c>
      <c r="J66" t="s">
        <v>350</v>
      </c>
      <c r="K66" t="s">
        <v>351</v>
      </c>
      <c r="L66">
        <v>1368</v>
      </c>
      <c r="N66">
        <v>91022270</v>
      </c>
      <c r="O66" t="s">
        <v>331</v>
      </c>
      <c r="P66" t="s">
        <v>331</v>
      </c>
      <c r="Q66">
        <v>1</v>
      </c>
      <c r="X66">
        <v>2.2999999999999998</v>
      </c>
      <c r="Y66">
        <v>0</v>
      </c>
      <c r="Z66">
        <v>123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63</v>
      </c>
      <c r="AG66">
        <v>2.875</v>
      </c>
      <c r="AH66">
        <v>2</v>
      </c>
      <c r="AI66">
        <v>502573232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35">
      <c r="A67">
        <f>ROW(Source!A41)</f>
        <v>41</v>
      </c>
      <c r="B67">
        <v>502573242</v>
      </c>
      <c r="C67">
        <v>502573227</v>
      </c>
      <c r="D67">
        <v>338037661</v>
      </c>
      <c r="E67">
        <v>1</v>
      </c>
      <c r="F67">
        <v>1</v>
      </c>
      <c r="G67">
        <v>1</v>
      </c>
      <c r="H67">
        <v>2</v>
      </c>
      <c r="I67" t="s">
        <v>396</v>
      </c>
      <c r="J67" t="s">
        <v>397</v>
      </c>
      <c r="K67" t="s">
        <v>398</v>
      </c>
      <c r="L67">
        <v>1368</v>
      </c>
      <c r="N67">
        <v>91022270</v>
      </c>
      <c r="O67" t="s">
        <v>331</v>
      </c>
      <c r="P67" t="s">
        <v>331</v>
      </c>
      <c r="Q67">
        <v>1</v>
      </c>
      <c r="X67">
        <v>12.21</v>
      </c>
      <c r="Y67">
        <v>0</v>
      </c>
      <c r="Z67">
        <v>206.01</v>
      </c>
      <c r="AA67">
        <v>14.4</v>
      </c>
      <c r="AB67">
        <v>0</v>
      </c>
      <c r="AC67">
        <v>0</v>
      </c>
      <c r="AD67">
        <v>1</v>
      </c>
      <c r="AE67">
        <v>0</v>
      </c>
      <c r="AF67" t="s">
        <v>63</v>
      </c>
      <c r="AG67">
        <v>15.262499999999999</v>
      </c>
      <c r="AH67">
        <v>2</v>
      </c>
      <c r="AI67">
        <v>502573233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35">
      <c r="A68">
        <f>ROW(Source!A41)</f>
        <v>41</v>
      </c>
      <c r="B68">
        <v>502573243</v>
      </c>
      <c r="C68">
        <v>502573227</v>
      </c>
      <c r="D68">
        <v>338037719</v>
      </c>
      <c r="E68">
        <v>1</v>
      </c>
      <c r="F68">
        <v>1</v>
      </c>
      <c r="G68">
        <v>1</v>
      </c>
      <c r="H68">
        <v>2</v>
      </c>
      <c r="I68" t="s">
        <v>399</v>
      </c>
      <c r="J68" t="s">
        <v>400</v>
      </c>
      <c r="K68" t="s">
        <v>401</v>
      </c>
      <c r="L68">
        <v>1368</v>
      </c>
      <c r="N68">
        <v>91022270</v>
      </c>
      <c r="O68" t="s">
        <v>331</v>
      </c>
      <c r="P68" t="s">
        <v>331</v>
      </c>
      <c r="Q68">
        <v>1</v>
      </c>
      <c r="X68">
        <v>1.04</v>
      </c>
      <c r="Y68">
        <v>0</v>
      </c>
      <c r="Z68">
        <v>110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63</v>
      </c>
      <c r="AG68">
        <v>1.3</v>
      </c>
      <c r="AH68">
        <v>2</v>
      </c>
      <c r="AI68">
        <v>502573234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35">
      <c r="A69">
        <f>ROW(Source!A41)</f>
        <v>41</v>
      </c>
      <c r="B69">
        <v>502573244</v>
      </c>
      <c r="C69">
        <v>502573227</v>
      </c>
      <c r="D69">
        <v>338013868</v>
      </c>
      <c r="E69">
        <v>1</v>
      </c>
      <c r="F69">
        <v>1</v>
      </c>
      <c r="G69">
        <v>1</v>
      </c>
      <c r="H69">
        <v>3</v>
      </c>
      <c r="I69" t="s">
        <v>441</v>
      </c>
      <c r="J69" t="s">
        <v>442</v>
      </c>
      <c r="K69" t="s">
        <v>443</v>
      </c>
      <c r="L69">
        <v>1339</v>
      </c>
      <c r="N69">
        <v>1007</v>
      </c>
      <c r="O69" t="s">
        <v>112</v>
      </c>
      <c r="P69" t="s">
        <v>112</v>
      </c>
      <c r="Q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G69">
        <v>0</v>
      </c>
      <c r="AH69">
        <v>3</v>
      </c>
      <c r="AI69">
        <v>-1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35">
      <c r="A70">
        <f>ROW(Source!A41)</f>
        <v>41</v>
      </c>
      <c r="B70">
        <v>502573245</v>
      </c>
      <c r="C70">
        <v>502573227</v>
      </c>
      <c r="D70">
        <v>338014469</v>
      </c>
      <c r="E70">
        <v>1</v>
      </c>
      <c r="F70">
        <v>1</v>
      </c>
      <c r="G70">
        <v>1</v>
      </c>
      <c r="H70">
        <v>3</v>
      </c>
      <c r="I70" t="s">
        <v>402</v>
      </c>
      <c r="J70" t="s">
        <v>403</v>
      </c>
      <c r="K70" t="s">
        <v>404</v>
      </c>
      <c r="L70">
        <v>1339</v>
      </c>
      <c r="N70">
        <v>1007</v>
      </c>
      <c r="O70" t="s">
        <v>112</v>
      </c>
      <c r="P70" t="s">
        <v>112</v>
      </c>
      <c r="Q70">
        <v>1</v>
      </c>
      <c r="X70">
        <v>7</v>
      </c>
      <c r="Y70">
        <v>2.44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7</v>
      </c>
      <c r="AH70">
        <v>2</v>
      </c>
      <c r="AI70">
        <v>502573236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35">
      <c r="A71">
        <f>ROW(Source!A43)</f>
        <v>43</v>
      </c>
      <c r="B71">
        <v>502573303</v>
      </c>
      <c r="C71">
        <v>502573302</v>
      </c>
      <c r="D71">
        <v>37776124</v>
      </c>
      <c r="E71">
        <v>1</v>
      </c>
      <c r="F71">
        <v>1</v>
      </c>
      <c r="G71">
        <v>1</v>
      </c>
      <c r="H71">
        <v>1</v>
      </c>
      <c r="I71" t="s">
        <v>407</v>
      </c>
      <c r="K71" t="s">
        <v>408</v>
      </c>
      <c r="L71">
        <v>1369</v>
      </c>
      <c r="N71">
        <v>1013</v>
      </c>
      <c r="O71" t="s">
        <v>325</v>
      </c>
      <c r="P71" t="s">
        <v>325</v>
      </c>
      <c r="Q71">
        <v>1</v>
      </c>
      <c r="X71">
        <v>213.64</v>
      </c>
      <c r="Y71">
        <v>0</v>
      </c>
      <c r="Z71">
        <v>0</v>
      </c>
      <c r="AA71">
        <v>0</v>
      </c>
      <c r="AB71">
        <v>8.74</v>
      </c>
      <c r="AC71">
        <v>0</v>
      </c>
      <c r="AD71">
        <v>1</v>
      </c>
      <c r="AE71">
        <v>1</v>
      </c>
      <c r="AF71" t="s">
        <v>64</v>
      </c>
      <c r="AG71">
        <v>245.68600000000001</v>
      </c>
      <c r="AH71">
        <v>2</v>
      </c>
      <c r="AI71">
        <v>502573303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35">
      <c r="A72">
        <f>ROW(Source!A43)</f>
        <v>43</v>
      </c>
      <c r="B72">
        <v>502573304</v>
      </c>
      <c r="C72">
        <v>502573302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72</v>
      </c>
      <c r="K72" t="s">
        <v>326</v>
      </c>
      <c r="L72">
        <v>608254</v>
      </c>
      <c r="N72">
        <v>1013</v>
      </c>
      <c r="O72" t="s">
        <v>327</v>
      </c>
      <c r="P72" t="s">
        <v>327</v>
      </c>
      <c r="Q72">
        <v>1</v>
      </c>
      <c r="X72">
        <v>88.65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63</v>
      </c>
      <c r="AG72">
        <v>110.8125</v>
      </c>
      <c r="AH72">
        <v>2</v>
      </c>
      <c r="AI72">
        <v>502573304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35">
      <c r="A73">
        <f>ROW(Source!A43)</f>
        <v>43</v>
      </c>
      <c r="B73">
        <v>502573305</v>
      </c>
      <c r="C73">
        <v>502573302</v>
      </c>
      <c r="D73">
        <v>338036808</v>
      </c>
      <c r="E73">
        <v>1</v>
      </c>
      <c r="F73">
        <v>1</v>
      </c>
      <c r="G73">
        <v>1</v>
      </c>
      <c r="H73">
        <v>2</v>
      </c>
      <c r="I73" t="s">
        <v>372</v>
      </c>
      <c r="J73" t="s">
        <v>373</v>
      </c>
      <c r="K73" t="s">
        <v>374</v>
      </c>
      <c r="L73">
        <v>1368</v>
      </c>
      <c r="N73">
        <v>91022270</v>
      </c>
      <c r="O73" t="s">
        <v>331</v>
      </c>
      <c r="P73" t="s">
        <v>331</v>
      </c>
      <c r="Q73">
        <v>1</v>
      </c>
      <c r="X73">
        <v>67.260000000000005</v>
      </c>
      <c r="Y73">
        <v>0</v>
      </c>
      <c r="Z73">
        <v>112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63</v>
      </c>
      <c r="AG73">
        <v>84.075000000000003</v>
      </c>
      <c r="AH73">
        <v>2</v>
      </c>
      <c r="AI73">
        <v>502573305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35">
      <c r="A74">
        <f>ROW(Source!A43)</f>
        <v>43</v>
      </c>
      <c r="B74">
        <v>502573306</v>
      </c>
      <c r="C74">
        <v>502573302</v>
      </c>
      <c r="D74">
        <v>338037075</v>
      </c>
      <c r="E74">
        <v>1</v>
      </c>
      <c r="F74">
        <v>1</v>
      </c>
      <c r="G74">
        <v>1</v>
      </c>
      <c r="H74">
        <v>2</v>
      </c>
      <c r="I74" t="s">
        <v>409</v>
      </c>
      <c r="J74" t="s">
        <v>410</v>
      </c>
      <c r="K74" t="s">
        <v>411</v>
      </c>
      <c r="L74">
        <v>1368</v>
      </c>
      <c r="N74">
        <v>91022270</v>
      </c>
      <c r="O74" t="s">
        <v>331</v>
      </c>
      <c r="P74" t="s">
        <v>331</v>
      </c>
      <c r="Q74">
        <v>1</v>
      </c>
      <c r="X74">
        <v>7.41</v>
      </c>
      <c r="Y74">
        <v>0</v>
      </c>
      <c r="Z74">
        <v>14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63</v>
      </c>
      <c r="AG74">
        <v>9.2624999999999993</v>
      </c>
      <c r="AH74">
        <v>2</v>
      </c>
      <c r="AI74">
        <v>502573306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35">
      <c r="A75">
        <f>ROW(Source!A43)</f>
        <v>43</v>
      </c>
      <c r="B75">
        <v>502573307</v>
      </c>
      <c r="C75">
        <v>502573302</v>
      </c>
      <c r="D75">
        <v>338037621</v>
      </c>
      <c r="E75">
        <v>1</v>
      </c>
      <c r="F75">
        <v>1</v>
      </c>
      <c r="G75">
        <v>1</v>
      </c>
      <c r="H75">
        <v>2</v>
      </c>
      <c r="I75" t="s">
        <v>412</v>
      </c>
      <c r="J75" t="s">
        <v>413</v>
      </c>
      <c r="K75" t="s">
        <v>414</v>
      </c>
      <c r="L75">
        <v>1368</v>
      </c>
      <c r="N75">
        <v>91022270</v>
      </c>
      <c r="O75" t="s">
        <v>331</v>
      </c>
      <c r="P75" t="s">
        <v>331</v>
      </c>
      <c r="Q75">
        <v>1</v>
      </c>
      <c r="X75">
        <v>21.39</v>
      </c>
      <c r="Y75">
        <v>0</v>
      </c>
      <c r="Z75">
        <v>175.25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63</v>
      </c>
      <c r="AG75">
        <v>26.737500000000001</v>
      </c>
      <c r="AH75">
        <v>2</v>
      </c>
      <c r="AI75">
        <v>502573307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35">
      <c r="A76">
        <f>ROW(Source!A43)</f>
        <v>43</v>
      </c>
      <c r="B76">
        <v>502573308</v>
      </c>
      <c r="C76">
        <v>502573302</v>
      </c>
      <c r="D76">
        <v>338037681</v>
      </c>
      <c r="E76">
        <v>1</v>
      </c>
      <c r="F76">
        <v>1</v>
      </c>
      <c r="G76">
        <v>1</v>
      </c>
      <c r="H76">
        <v>2</v>
      </c>
      <c r="I76" t="s">
        <v>415</v>
      </c>
      <c r="J76" t="s">
        <v>416</v>
      </c>
      <c r="K76" t="s">
        <v>417</v>
      </c>
      <c r="L76">
        <v>1368</v>
      </c>
      <c r="N76">
        <v>91022270</v>
      </c>
      <c r="O76" t="s">
        <v>331</v>
      </c>
      <c r="P76" t="s">
        <v>331</v>
      </c>
      <c r="Q76">
        <v>1</v>
      </c>
      <c r="X76">
        <v>1.68</v>
      </c>
      <c r="Y76">
        <v>0</v>
      </c>
      <c r="Z76">
        <v>30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63</v>
      </c>
      <c r="AG76">
        <v>2.1</v>
      </c>
      <c r="AH76">
        <v>2</v>
      </c>
      <c r="AI76">
        <v>502573308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35">
      <c r="A77">
        <f>ROW(Source!A43)</f>
        <v>43</v>
      </c>
      <c r="B77">
        <v>502573309</v>
      </c>
      <c r="C77">
        <v>502573302</v>
      </c>
      <c r="D77">
        <v>338039342</v>
      </c>
      <c r="E77">
        <v>1</v>
      </c>
      <c r="F77">
        <v>1</v>
      </c>
      <c r="G77">
        <v>1</v>
      </c>
      <c r="H77">
        <v>2</v>
      </c>
      <c r="I77" t="s">
        <v>355</v>
      </c>
      <c r="J77" t="s">
        <v>356</v>
      </c>
      <c r="K77" t="s">
        <v>357</v>
      </c>
      <c r="L77">
        <v>1368</v>
      </c>
      <c r="N77">
        <v>91022270</v>
      </c>
      <c r="O77" t="s">
        <v>331</v>
      </c>
      <c r="P77" t="s">
        <v>331</v>
      </c>
      <c r="Q77">
        <v>1</v>
      </c>
      <c r="X77">
        <v>13.96</v>
      </c>
      <c r="Y77">
        <v>0</v>
      </c>
      <c r="Z77">
        <v>87.17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63</v>
      </c>
      <c r="AG77">
        <v>17.45</v>
      </c>
      <c r="AH77">
        <v>2</v>
      </c>
      <c r="AI77">
        <v>502573309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35">
      <c r="A78">
        <f>ROW(Source!A43)</f>
        <v>43</v>
      </c>
      <c r="B78">
        <v>502573310</v>
      </c>
      <c r="C78">
        <v>502573302</v>
      </c>
      <c r="D78">
        <v>337978394</v>
      </c>
      <c r="E78">
        <v>1</v>
      </c>
      <c r="F78">
        <v>1</v>
      </c>
      <c r="G78">
        <v>1</v>
      </c>
      <c r="H78">
        <v>3</v>
      </c>
      <c r="I78" t="s">
        <v>418</v>
      </c>
      <c r="J78" t="s">
        <v>419</v>
      </c>
      <c r="K78" t="s">
        <v>420</v>
      </c>
      <c r="L78">
        <v>1348</v>
      </c>
      <c r="N78">
        <v>39568864</v>
      </c>
      <c r="O78" t="s">
        <v>381</v>
      </c>
      <c r="P78" t="s">
        <v>381</v>
      </c>
      <c r="Q78">
        <v>1000</v>
      </c>
      <c r="X78">
        <v>1.3299999999999999E-2</v>
      </c>
      <c r="Y78">
        <v>9749.99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1.3299999999999999E-2</v>
      </c>
      <c r="AH78">
        <v>2</v>
      </c>
      <c r="AI78">
        <v>502573310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35">
      <c r="A79">
        <f>ROW(Source!A43)</f>
        <v>43</v>
      </c>
      <c r="B79">
        <v>502573311</v>
      </c>
      <c r="C79">
        <v>502573302</v>
      </c>
      <c r="D79">
        <v>337972870</v>
      </c>
      <c r="E79">
        <v>1</v>
      </c>
      <c r="F79">
        <v>1</v>
      </c>
      <c r="G79">
        <v>1</v>
      </c>
      <c r="H79">
        <v>3</v>
      </c>
      <c r="I79" t="s">
        <v>421</v>
      </c>
      <c r="J79" t="s">
        <v>422</v>
      </c>
      <c r="K79" t="s">
        <v>423</v>
      </c>
      <c r="L79">
        <v>1348</v>
      </c>
      <c r="N79">
        <v>39568864</v>
      </c>
      <c r="O79" t="s">
        <v>381</v>
      </c>
      <c r="P79" t="s">
        <v>381</v>
      </c>
      <c r="Q79">
        <v>1000</v>
      </c>
      <c r="X79">
        <v>0.46</v>
      </c>
      <c r="Y79">
        <v>1500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0.46</v>
      </c>
      <c r="AH79">
        <v>2</v>
      </c>
      <c r="AI79">
        <v>502573311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35">
      <c r="A80">
        <f>ROW(Source!A43)</f>
        <v>43</v>
      </c>
      <c r="B80">
        <v>502573312</v>
      </c>
      <c r="C80">
        <v>502573302</v>
      </c>
      <c r="D80">
        <v>338009425</v>
      </c>
      <c r="E80">
        <v>1</v>
      </c>
      <c r="F80">
        <v>1</v>
      </c>
      <c r="G80">
        <v>1</v>
      </c>
      <c r="H80">
        <v>3</v>
      </c>
      <c r="I80" t="s">
        <v>424</v>
      </c>
      <c r="J80" t="s">
        <v>425</v>
      </c>
      <c r="K80" t="s">
        <v>426</v>
      </c>
      <c r="L80">
        <v>1339</v>
      </c>
      <c r="N80">
        <v>1007</v>
      </c>
      <c r="O80" t="s">
        <v>112</v>
      </c>
      <c r="P80" t="s">
        <v>112</v>
      </c>
      <c r="Q80">
        <v>1</v>
      </c>
      <c r="X80">
        <v>0.7</v>
      </c>
      <c r="Y80">
        <v>730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0.7</v>
      </c>
      <c r="AH80">
        <v>2</v>
      </c>
      <c r="AI80">
        <v>502573312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35">
      <c r="A81">
        <f>ROW(Source!A43)</f>
        <v>43</v>
      </c>
      <c r="B81">
        <v>502573313</v>
      </c>
      <c r="C81">
        <v>502573302</v>
      </c>
      <c r="D81">
        <v>338009637</v>
      </c>
      <c r="E81">
        <v>1</v>
      </c>
      <c r="F81">
        <v>1</v>
      </c>
      <c r="G81">
        <v>1</v>
      </c>
      <c r="H81">
        <v>3</v>
      </c>
      <c r="I81" t="s">
        <v>427</v>
      </c>
      <c r="J81" t="s">
        <v>428</v>
      </c>
      <c r="K81" t="s">
        <v>429</v>
      </c>
      <c r="L81">
        <v>1339</v>
      </c>
      <c r="N81">
        <v>1007</v>
      </c>
      <c r="O81" t="s">
        <v>112</v>
      </c>
      <c r="P81" t="s">
        <v>112</v>
      </c>
      <c r="Q81">
        <v>1</v>
      </c>
      <c r="X81">
        <v>0.8</v>
      </c>
      <c r="Y81">
        <v>497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0.8</v>
      </c>
      <c r="AH81">
        <v>2</v>
      </c>
      <c r="AI81">
        <v>502573313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35">
      <c r="A82">
        <f>ROW(Source!A43)</f>
        <v>43</v>
      </c>
      <c r="B82">
        <v>502573314</v>
      </c>
      <c r="C82">
        <v>502573302</v>
      </c>
      <c r="D82">
        <v>338012090</v>
      </c>
      <c r="E82">
        <v>1</v>
      </c>
      <c r="F82">
        <v>1</v>
      </c>
      <c r="G82">
        <v>1</v>
      </c>
      <c r="H82">
        <v>3</v>
      </c>
      <c r="I82" t="s">
        <v>444</v>
      </c>
      <c r="J82" t="s">
        <v>445</v>
      </c>
      <c r="K82" t="s">
        <v>446</v>
      </c>
      <c r="L82">
        <v>1339</v>
      </c>
      <c r="N82">
        <v>1007</v>
      </c>
      <c r="O82" t="s">
        <v>112</v>
      </c>
      <c r="P82" t="s">
        <v>112</v>
      </c>
      <c r="Q82">
        <v>1</v>
      </c>
      <c r="X82">
        <v>100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G82">
        <v>100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35">
      <c r="A83">
        <f>ROW(Source!A45)</f>
        <v>45</v>
      </c>
      <c r="B83">
        <v>502573364</v>
      </c>
      <c r="C83">
        <v>502573358</v>
      </c>
      <c r="D83">
        <v>37776094</v>
      </c>
      <c r="E83">
        <v>1</v>
      </c>
      <c r="F83">
        <v>1</v>
      </c>
      <c r="G83">
        <v>1</v>
      </c>
      <c r="H83">
        <v>1</v>
      </c>
      <c r="I83" t="s">
        <v>341</v>
      </c>
      <c r="K83" t="s">
        <v>342</v>
      </c>
      <c r="L83">
        <v>1369</v>
      </c>
      <c r="N83">
        <v>1013</v>
      </c>
      <c r="O83" t="s">
        <v>325</v>
      </c>
      <c r="P83" t="s">
        <v>325</v>
      </c>
      <c r="Q83">
        <v>1</v>
      </c>
      <c r="X83">
        <v>179.8</v>
      </c>
      <c r="Y83">
        <v>0</v>
      </c>
      <c r="Z83">
        <v>0</v>
      </c>
      <c r="AA83">
        <v>0</v>
      </c>
      <c r="AB83">
        <v>8.31</v>
      </c>
      <c r="AC83">
        <v>0</v>
      </c>
      <c r="AD83">
        <v>1</v>
      </c>
      <c r="AE83">
        <v>1</v>
      </c>
      <c r="AG83">
        <v>179.8</v>
      </c>
      <c r="AH83">
        <v>2</v>
      </c>
      <c r="AI83">
        <v>502573359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35">
      <c r="A84">
        <f>ROW(Source!A45)</f>
        <v>45</v>
      </c>
      <c r="B84">
        <v>502573365</v>
      </c>
      <c r="C84">
        <v>502573358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72</v>
      </c>
      <c r="K84" t="s">
        <v>326</v>
      </c>
      <c r="L84">
        <v>608254</v>
      </c>
      <c r="N84">
        <v>1013</v>
      </c>
      <c r="O84" t="s">
        <v>327</v>
      </c>
      <c r="P84" t="s">
        <v>327</v>
      </c>
      <c r="Q84">
        <v>1</v>
      </c>
      <c r="X84">
        <v>45.63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G84">
        <v>45.63</v>
      </c>
      <c r="AH84">
        <v>2</v>
      </c>
      <c r="AI84">
        <v>502573360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35">
      <c r="A85">
        <f>ROW(Source!A45)</f>
        <v>45</v>
      </c>
      <c r="B85">
        <v>502573366</v>
      </c>
      <c r="C85">
        <v>502573358</v>
      </c>
      <c r="D85">
        <v>338037139</v>
      </c>
      <c r="E85">
        <v>1</v>
      </c>
      <c r="F85">
        <v>1</v>
      </c>
      <c r="G85">
        <v>1</v>
      </c>
      <c r="H85">
        <v>2</v>
      </c>
      <c r="I85" t="s">
        <v>388</v>
      </c>
      <c r="J85" t="s">
        <v>389</v>
      </c>
      <c r="K85" t="s">
        <v>390</v>
      </c>
      <c r="L85">
        <v>1368</v>
      </c>
      <c r="N85">
        <v>91022270</v>
      </c>
      <c r="O85" t="s">
        <v>331</v>
      </c>
      <c r="P85" t="s">
        <v>331</v>
      </c>
      <c r="Q85">
        <v>1</v>
      </c>
      <c r="X85">
        <v>44.08</v>
      </c>
      <c r="Y85">
        <v>0</v>
      </c>
      <c r="Z85">
        <v>46.56</v>
      </c>
      <c r="AA85">
        <v>10.06</v>
      </c>
      <c r="AB85">
        <v>0</v>
      </c>
      <c r="AC85">
        <v>0</v>
      </c>
      <c r="AD85">
        <v>1</v>
      </c>
      <c r="AE85">
        <v>0</v>
      </c>
      <c r="AG85">
        <v>44.08</v>
      </c>
      <c r="AH85">
        <v>2</v>
      </c>
      <c r="AI85">
        <v>502573361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35">
      <c r="A86">
        <f>ROW(Source!A45)</f>
        <v>45</v>
      </c>
      <c r="B86">
        <v>502573367</v>
      </c>
      <c r="C86">
        <v>502573358</v>
      </c>
      <c r="D86">
        <v>338037611</v>
      </c>
      <c r="E86">
        <v>1</v>
      </c>
      <c r="F86">
        <v>1</v>
      </c>
      <c r="G86">
        <v>1</v>
      </c>
      <c r="H86">
        <v>2</v>
      </c>
      <c r="I86" t="s">
        <v>349</v>
      </c>
      <c r="J86" t="s">
        <v>350</v>
      </c>
      <c r="K86" t="s">
        <v>351</v>
      </c>
      <c r="L86">
        <v>1368</v>
      </c>
      <c r="N86">
        <v>91022270</v>
      </c>
      <c r="O86" t="s">
        <v>331</v>
      </c>
      <c r="P86" t="s">
        <v>331</v>
      </c>
      <c r="Q86">
        <v>1</v>
      </c>
      <c r="X86">
        <v>1.55</v>
      </c>
      <c r="Y86">
        <v>0</v>
      </c>
      <c r="Z86">
        <v>123</v>
      </c>
      <c r="AA86">
        <v>13.5</v>
      </c>
      <c r="AB86">
        <v>0</v>
      </c>
      <c r="AC86">
        <v>0</v>
      </c>
      <c r="AD86">
        <v>1</v>
      </c>
      <c r="AE86">
        <v>0</v>
      </c>
      <c r="AG86">
        <v>1.55</v>
      </c>
      <c r="AH86">
        <v>2</v>
      </c>
      <c r="AI86">
        <v>502573362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35">
      <c r="A87">
        <f>ROW(Source!A45)</f>
        <v>45</v>
      </c>
      <c r="B87">
        <v>502573368</v>
      </c>
      <c r="C87">
        <v>502573358</v>
      </c>
      <c r="D87">
        <v>338038962</v>
      </c>
      <c r="E87">
        <v>1</v>
      </c>
      <c r="F87">
        <v>1</v>
      </c>
      <c r="G87">
        <v>1</v>
      </c>
      <c r="H87">
        <v>2</v>
      </c>
      <c r="I87" t="s">
        <v>391</v>
      </c>
      <c r="J87" t="s">
        <v>392</v>
      </c>
      <c r="K87" t="s">
        <v>393</v>
      </c>
      <c r="L87">
        <v>1368</v>
      </c>
      <c r="N87">
        <v>91022270</v>
      </c>
      <c r="O87" t="s">
        <v>331</v>
      </c>
      <c r="P87" t="s">
        <v>331</v>
      </c>
      <c r="Q87">
        <v>1</v>
      </c>
      <c r="X87">
        <v>88.16</v>
      </c>
      <c r="Y87">
        <v>0</v>
      </c>
      <c r="Z87">
        <v>1.53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88.16</v>
      </c>
      <c r="AH87">
        <v>2</v>
      </c>
      <c r="AI87">
        <v>502573363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35">
      <c r="A88">
        <f>ROW(Source!A46)</f>
        <v>46</v>
      </c>
      <c r="B88">
        <v>502573378</v>
      </c>
      <c r="C88">
        <v>502573369</v>
      </c>
      <c r="D88">
        <v>37773610</v>
      </c>
      <c r="E88">
        <v>1</v>
      </c>
      <c r="F88">
        <v>1</v>
      </c>
      <c r="G88">
        <v>1</v>
      </c>
      <c r="H88">
        <v>1</v>
      </c>
      <c r="I88" t="s">
        <v>394</v>
      </c>
      <c r="K88" t="s">
        <v>395</v>
      </c>
      <c r="L88">
        <v>1369</v>
      </c>
      <c r="N88">
        <v>1013</v>
      </c>
      <c r="O88" t="s">
        <v>325</v>
      </c>
      <c r="P88" t="s">
        <v>325</v>
      </c>
      <c r="Q88">
        <v>1</v>
      </c>
      <c r="X88">
        <v>15.72</v>
      </c>
      <c r="Y88">
        <v>0</v>
      </c>
      <c r="Z88">
        <v>0</v>
      </c>
      <c r="AA88">
        <v>0</v>
      </c>
      <c r="AB88">
        <v>8.02</v>
      </c>
      <c r="AC88">
        <v>0</v>
      </c>
      <c r="AD88">
        <v>1</v>
      </c>
      <c r="AE88">
        <v>1</v>
      </c>
      <c r="AF88" t="s">
        <v>64</v>
      </c>
      <c r="AG88">
        <v>18.077999999999999</v>
      </c>
      <c r="AH88">
        <v>2</v>
      </c>
      <c r="AI88">
        <v>502573370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35">
      <c r="A89">
        <f>ROW(Source!A46)</f>
        <v>46</v>
      </c>
      <c r="B89">
        <v>502573379</v>
      </c>
      <c r="C89">
        <v>502573369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72</v>
      </c>
      <c r="K89" t="s">
        <v>326</v>
      </c>
      <c r="L89">
        <v>608254</v>
      </c>
      <c r="N89">
        <v>1013</v>
      </c>
      <c r="O89" t="s">
        <v>327</v>
      </c>
      <c r="P89" t="s">
        <v>327</v>
      </c>
      <c r="Q89">
        <v>1</v>
      </c>
      <c r="X89">
        <v>13.88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63</v>
      </c>
      <c r="AG89">
        <v>17.350000000000001</v>
      </c>
      <c r="AH89">
        <v>2</v>
      </c>
      <c r="AI89">
        <v>502573371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35">
      <c r="A90">
        <f>ROW(Source!A46)</f>
        <v>46</v>
      </c>
      <c r="B90">
        <v>502573380</v>
      </c>
      <c r="C90">
        <v>502573369</v>
      </c>
      <c r="D90">
        <v>338036908</v>
      </c>
      <c r="E90">
        <v>1</v>
      </c>
      <c r="F90">
        <v>1</v>
      </c>
      <c r="G90">
        <v>1</v>
      </c>
      <c r="H90">
        <v>2</v>
      </c>
      <c r="I90" t="s">
        <v>343</v>
      </c>
      <c r="J90" t="s">
        <v>344</v>
      </c>
      <c r="K90" t="s">
        <v>345</v>
      </c>
      <c r="L90">
        <v>1368</v>
      </c>
      <c r="N90">
        <v>91022270</v>
      </c>
      <c r="O90" t="s">
        <v>331</v>
      </c>
      <c r="P90" t="s">
        <v>331</v>
      </c>
      <c r="Q90">
        <v>1</v>
      </c>
      <c r="X90">
        <v>4.29</v>
      </c>
      <c r="Y90">
        <v>0</v>
      </c>
      <c r="Z90">
        <v>99.89</v>
      </c>
      <c r="AA90">
        <v>10.06</v>
      </c>
      <c r="AB90">
        <v>0</v>
      </c>
      <c r="AC90">
        <v>0</v>
      </c>
      <c r="AD90">
        <v>1</v>
      </c>
      <c r="AE90">
        <v>0</v>
      </c>
      <c r="AF90" t="s">
        <v>63</v>
      </c>
      <c r="AG90">
        <v>5.3624999999999998</v>
      </c>
      <c r="AH90">
        <v>2</v>
      </c>
      <c r="AI90">
        <v>502573372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35">
      <c r="A91">
        <f>ROW(Source!A46)</f>
        <v>46</v>
      </c>
      <c r="B91">
        <v>502573381</v>
      </c>
      <c r="C91">
        <v>502573369</v>
      </c>
      <c r="D91">
        <v>338037611</v>
      </c>
      <c r="E91">
        <v>1</v>
      </c>
      <c r="F91">
        <v>1</v>
      </c>
      <c r="G91">
        <v>1</v>
      </c>
      <c r="H91">
        <v>2</v>
      </c>
      <c r="I91" t="s">
        <v>349</v>
      </c>
      <c r="J91" t="s">
        <v>350</v>
      </c>
      <c r="K91" t="s">
        <v>351</v>
      </c>
      <c r="L91">
        <v>1368</v>
      </c>
      <c r="N91">
        <v>91022270</v>
      </c>
      <c r="O91" t="s">
        <v>331</v>
      </c>
      <c r="P91" t="s">
        <v>331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63</v>
      </c>
      <c r="AG91">
        <v>2.2124999999999999</v>
      </c>
      <c r="AH91">
        <v>2</v>
      </c>
      <c r="AI91">
        <v>502573373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35">
      <c r="A92">
        <f>ROW(Source!A46)</f>
        <v>46</v>
      </c>
      <c r="B92">
        <v>502573382</v>
      </c>
      <c r="C92">
        <v>502573369</v>
      </c>
      <c r="D92">
        <v>338037661</v>
      </c>
      <c r="E92">
        <v>1</v>
      </c>
      <c r="F92">
        <v>1</v>
      </c>
      <c r="G92">
        <v>1</v>
      </c>
      <c r="H92">
        <v>2</v>
      </c>
      <c r="I92" t="s">
        <v>396</v>
      </c>
      <c r="J92" t="s">
        <v>397</v>
      </c>
      <c r="K92" t="s">
        <v>398</v>
      </c>
      <c r="L92">
        <v>1368</v>
      </c>
      <c r="N92">
        <v>91022270</v>
      </c>
      <c r="O92" t="s">
        <v>331</v>
      </c>
      <c r="P92" t="s">
        <v>331</v>
      </c>
      <c r="Q92">
        <v>1</v>
      </c>
      <c r="X92">
        <v>7.08</v>
      </c>
      <c r="Y92">
        <v>0</v>
      </c>
      <c r="Z92">
        <v>206.01</v>
      </c>
      <c r="AA92">
        <v>14.4</v>
      </c>
      <c r="AB92">
        <v>0</v>
      </c>
      <c r="AC92">
        <v>0</v>
      </c>
      <c r="AD92">
        <v>1</v>
      </c>
      <c r="AE92">
        <v>0</v>
      </c>
      <c r="AF92" t="s">
        <v>63</v>
      </c>
      <c r="AG92">
        <v>8.85</v>
      </c>
      <c r="AH92">
        <v>2</v>
      </c>
      <c r="AI92">
        <v>502573374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35">
      <c r="A93">
        <f>ROW(Source!A46)</f>
        <v>46</v>
      </c>
      <c r="B93">
        <v>502573383</v>
      </c>
      <c r="C93">
        <v>502573369</v>
      </c>
      <c r="D93">
        <v>338037719</v>
      </c>
      <c r="E93">
        <v>1</v>
      </c>
      <c r="F93">
        <v>1</v>
      </c>
      <c r="G93">
        <v>1</v>
      </c>
      <c r="H93">
        <v>2</v>
      </c>
      <c r="I93" t="s">
        <v>399</v>
      </c>
      <c r="J93" t="s">
        <v>400</v>
      </c>
      <c r="K93" t="s">
        <v>401</v>
      </c>
      <c r="L93">
        <v>1368</v>
      </c>
      <c r="N93">
        <v>91022270</v>
      </c>
      <c r="O93" t="s">
        <v>331</v>
      </c>
      <c r="P93" t="s">
        <v>331</v>
      </c>
      <c r="Q93">
        <v>1</v>
      </c>
      <c r="X93">
        <v>0.74</v>
      </c>
      <c r="Y93">
        <v>0</v>
      </c>
      <c r="Z93">
        <v>110</v>
      </c>
      <c r="AA93">
        <v>11.6</v>
      </c>
      <c r="AB93">
        <v>0</v>
      </c>
      <c r="AC93">
        <v>0</v>
      </c>
      <c r="AD93">
        <v>1</v>
      </c>
      <c r="AE93">
        <v>0</v>
      </c>
      <c r="AF93" t="s">
        <v>63</v>
      </c>
      <c r="AG93">
        <v>0.92500000000000004</v>
      </c>
      <c r="AH93">
        <v>2</v>
      </c>
      <c r="AI93">
        <v>502573375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35">
      <c r="A94">
        <f>ROW(Source!A46)</f>
        <v>46</v>
      </c>
      <c r="B94">
        <v>502573384</v>
      </c>
      <c r="C94">
        <v>502573369</v>
      </c>
      <c r="D94">
        <v>338014027</v>
      </c>
      <c r="E94">
        <v>1</v>
      </c>
      <c r="F94">
        <v>1</v>
      </c>
      <c r="G94">
        <v>1</v>
      </c>
      <c r="H94">
        <v>3</v>
      </c>
      <c r="I94" t="s">
        <v>438</v>
      </c>
      <c r="J94" t="s">
        <v>439</v>
      </c>
      <c r="K94" t="s">
        <v>440</v>
      </c>
      <c r="L94">
        <v>1339</v>
      </c>
      <c r="N94">
        <v>1007</v>
      </c>
      <c r="O94" t="s">
        <v>112</v>
      </c>
      <c r="P94" t="s">
        <v>112</v>
      </c>
      <c r="Q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G94">
        <v>0</v>
      </c>
      <c r="AH94">
        <v>3</v>
      </c>
      <c r="AI94">
        <v>-1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35">
      <c r="A95">
        <f>ROW(Source!A46)</f>
        <v>46</v>
      </c>
      <c r="B95">
        <v>502573385</v>
      </c>
      <c r="C95">
        <v>502573369</v>
      </c>
      <c r="D95">
        <v>338014469</v>
      </c>
      <c r="E95">
        <v>1</v>
      </c>
      <c r="F95">
        <v>1</v>
      </c>
      <c r="G95">
        <v>1</v>
      </c>
      <c r="H95">
        <v>3</v>
      </c>
      <c r="I95" t="s">
        <v>402</v>
      </c>
      <c r="J95" t="s">
        <v>403</v>
      </c>
      <c r="K95" t="s">
        <v>404</v>
      </c>
      <c r="L95">
        <v>1339</v>
      </c>
      <c r="N95">
        <v>1007</v>
      </c>
      <c r="O95" t="s">
        <v>112</v>
      </c>
      <c r="P95" t="s">
        <v>112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5</v>
      </c>
      <c r="AH95">
        <v>2</v>
      </c>
      <c r="AI95">
        <v>502573377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35">
      <c r="A96">
        <f>ROW(Source!A48)</f>
        <v>48</v>
      </c>
      <c r="B96">
        <v>502573397</v>
      </c>
      <c r="C96">
        <v>502573387</v>
      </c>
      <c r="D96">
        <v>37775544</v>
      </c>
      <c r="E96">
        <v>1</v>
      </c>
      <c r="F96">
        <v>1</v>
      </c>
      <c r="G96">
        <v>1</v>
      </c>
      <c r="H96">
        <v>1</v>
      </c>
      <c r="I96" t="s">
        <v>405</v>
      </c>
      <c r="K96" t="s">
        <v>406</v>
      </c>
      <c r="L96">
        <v>1369</v>
      </c>
      <c r="N96">
        <v>1013</v>
      </c>
      <c r="O96" t="s">
        <v>325</v>
      </c>
      <c r="P96" t="s">
        <v>325</v>
      </c>
      <c r="Q96">
        <v>1</v>
      </c>
      <c r="X96">
        <v>24.19</v>
      </c>
      <c r="Y96">
        <v>0</v>
      </c>
      <c r="Z96">
        <v>0</v>
      </c>
      <c r="AA96">
        <v>0</v>
      </c>
      <c r="AB96">
        <v>8.09</v>
      </c>
      <c r="AC96">
        <v>0</v>
      </c>
      <c r="AD96">
        <v>1</v>
      </c>
      <c r="AE96">
        <v>1</v>
      </c>
      <c r="AF96" t="s">
        <v>64</v>
      </c>
      <c r="AG96">
        <v>27.8185</v>
      </c>
      <c r="AH96">
        <v>2</v>
      </c>
      <c r="AI96">
        <v>502573388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35">
      <c r="A97">
        <f>ROW(Source!A48)</f>
        <v>48</v>
      </c>
      <c r="B97">
        <v>502573398</v>
      </c>
      <c r="C97">
        <v>502573387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72</v>
      </c>
      <c r="K97" t="s">
        <v>326</v>
      </c>
      <c r="L97">
        <v>608254</v>
      </c>
      <c r="N97">
        <v>1013</v>
      </c>
      <c r="O97" t="s">
        <v>327</v>
      </c>
      <c r="P97" t="s">
        <v>327</v>
      </c>
      <c r="Q97">
        <v>1</v>
      </c>
      <c r="X97">
        <v>20.6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63</v>
      </c>
      <c r="AG97">
        <v>25.75</v>
      </c>
      <c r="AH97">
        <v>2</v>
      </c>
      <c r="AI97">
        <v>502573389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35">
      <c r="A98">
        <f>ROW(Source!A48)</f>
        <v>48</v>
      </c>
      <c r="B98">
        <v>502573399</v>
      </c>
      <c r="C98">
        <v>502573387</v>
      </c>
      <c r="D98">
        <v>338036908</v>
      </c>
      <c r="E98">
        <v>1</v>
      </c>
      <c r="F98">
        <v>1</v>
      </c>
      <c r="G98">
        <v>1</v>
      </c>
      <c r="H98">
        <v>2</v>
      </c>
      <c r="I98" t="s">
        <v>343</v>
      </c>
      <c r="J98" t="s">
        <v>344</v>
      </c>
      <c r="K98" t="s">
        <v>345</v>
      </c>
      <c r="L98">
        <v>1368</v>
      </c>
      <c r="N98">
        <v>91022270</v>
      </c>
      <c r="O98" t="s">
        <v>331</v>
      </c>
      <c r="P98" t="s">
        <v>331</v>
      </c>
      <c r="Q98">
        <v>1</v>
      </c>
      <c r="X98">
        <v>2.46</v>
      </c>
      <c r="Y98">
        <v>0</v>
      </c>
      <c r="Z98">
        <v>99.89</v>
      </c>
      <c r="AA98">
        <v>10.06</v>
      </c>
      <c r="AB98">
        <v>0</v>
      </c>
      <c r="AC98">
        <v>0</v>
      </c>
      <c r="AD98">
        <v>1</v>
      </c>
      <c r="AE98">
        <v>0</v>
      </c>
      <c r="AF98" t="s">
        <v>63</v>
      </c>
      <c r="AG98">
        <v>3.0750000000000002</v>
      </c>
      <c r="AH98">
        <v>2</v>
      </c>
      <c r="AI98">
        <v>502573390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35">
      <c r="A99">
        <f>ROW(Source!A48)</f>
        <v>48</v>
      </c>
      <c r="B99">
        <v>502573400</v>
      </c>
      <c r="C99">
        <v>502573387</v>
      </c>
      <c r="D99">
        <v>338037300</v>
      </c>
      <c r="E99">
        <v>1</v>
      </c>
      <c r="F99">
        <v>1</v>
      </c>
      <c r="G99">
        <v>1</v>
      </c>
      <c r="H99">
        <v>2</v>
      </c>
      <c r="I99" t="s">
        <v>332</v>
      </c>
      <c r="J99" t="s">
        <v>333</v>
      </c>
      <c r="K99" t="s">
        <v>334</v>
      </c>
      <c r="L99">
        <v>1368</v>
      </c>
      <c r="N99">
        <v>91022270</v>
      </c>
      <c r="O99" t="s">
        <v>331</v>
      </c>
      <c r="P99" t="s">
        <v>331</v>
      </c>
      <c r="Q99">
        <v>1</v>
      </c>
      <c r="X99">
        <v>2.59</v>
      </c>
      <c r="Y99">
        <v>0</v>
      </c>
      <c r="Z99">
        <v>80.010000000000005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63</v>
      </c>
      <c r="AG99">
        <v>3.2374999999999998</v>
      </c>
      <c r="AH99">
        <v>2</v>
      </c>
      <c r="AI99">
        <v>502573391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35">
      <c r="A100">
        <f>ROW(Source!A48)</f>
        <v>48</v>
      </c>
      <c r="B100">
        <v>502573401</v>
      </c>
      <c r="C100">
        <v>502573387</v>
      </c>
      <c r="D100">
        <v>338037611</v>
      </c>
      <c r="E100">
        <v>1</v>
      </c>
      <c r="F100">
        <v>1</v>
      </c>
      <c r="G100">
        <v>1</v>
      </c>
      <c r="H100">
        <v>2</v>
      </c>
      <c r="I100" t="s">
        <v>349</v>
      </c>
      <c r="J100" t="s">
        <v>350</v>
      </c>
      <c r="K100" t="s">
        <v>351</v>
      </c>
      <c r="L100">
        <v>1368</v>
      </c>
      <c r="N100">
        <v>91022270</v>
      </c>
      <c r="O100" t="s">
        <v>331</v>
      </c>
      <c r="P100" t="s">
        <v>331</v>
      </c>
      <c r="Q100">
        <v>1</v>
      </c>
      <c r="X100">
        <v>2.2999999999999998</v>
      </c>
      <c r="Y100">
        <v>0</v>
      </c>
      <c r="Z100">
        <v>123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63</v>
      </c>
      <c r="AG100">
        <v>2.875</v>
      </c>
      <c r="AH100">
        <v>2</v>
      </c>
      <c r="AI100">
        <v>502573392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35">
      <c r="A101">
        <f>ROW(Source!A48)</f>
        <v>48</v>
      </c>
      <c r="B101">
        <v>502573402</v>
      </c>
      <c r="C101">
        <v>502573387</v>
      </c>
      <c r="D101">
        <v>338037661</v>
      </c>
      <c r="E101">
        <v>1</v>
      </c>
      <c r="F101">
        <v>1</v>
      </c>
      <c r="G101">
        <v>1</v>
      </c>
      <c r="H101">
        <v>2</v>
      </c>
      <c r="I101" t="s">
        <v>396</v>
      </c>
      <c r="J101" t="s">
        <v>397</v>
      </c>
      <c r="K101" t="s">
        <v>398</v>
      </c>
      <c r="L101">
        <v>1368</v>
      </c>
      <c r="N101">
        <v>91022270</v>
      </c>
      <c r="O101" t="s">
        <v>331</v>
      </c>
      <c r="P101" t="s">
        <v>331</v>
      </c>
      <c r="Q101">
        <v>1</v>
      </c>
      <c r="X101">
        <v>12.21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63</v>
      </c>
      <c r="AG101">
        <v>15.262499999999999</v>
      </c>
      <c r="AH101">
        <v>2</v>
      </c>
      <c r="AI101">
        <v>502573393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35">
      <c r="A102">
        <f>ROW(Source!A48)</f>
        <v>48</v>
      </c>
      <c r="B102">
        <v>502573403</v>
      </c>
      <c r="C102">
        <v>502573387</v>
      </c>
      <c r="D102">
        <v>338037719</v>
      </c>
      <c r="E102">
        <v>1</v>
      </c>
      <c r="F102">
        <v>1</v>
      </c>
      <c r="G102">
        <v>1</v>
      </c>
      <c r="H102">
        <v>2</v>
      </c>
      <c r="I102" t="s">
        <v>399</v>
      </c>
      <c r="J102" t="s">
        <v>400</v>
      </c>
      <c r="K102" t="s">
        <v>401</v>
      </c>
      <c r="L102">
        <v>1368</v>
      </c>
      <c r="N102">
        <v>91022270</v>
      </c>
      <c r="O102" t="s">
        <v>331</v>
      </c>
      <c r="P102" t="s">
        <v>331</v>
      </c>
      <c r="Q102">
        <v>1</v>
      </c>
      <c r="X102">
        <v>1.04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63</v>
      </c>
      <c r="AG102">
        <v>1.3</v>
      </c>
      <c r="AH102">
        <v>2</v>
      </c>
      <c r="AI102">
        <v>502573394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35">
      <c r="A103">
        <f>ROW(Source!A48)</f>
        <v>48</v>
      </c>
      <c r="B103">
        <v>502573404</v>
      </c>
      <c r="C103">
        <v>502573387</v>
      </c>
      <c r="D103">
        <v>338013868</v>
      </c>
      <c r="E103">
        <v>1</v>
      </c>
      <c r="F103">
        <v>1</v>
      </c>
      <c r="G103">
        <v>1</v>
      </c>
      <c r="H103">
        <v>3</v>
      </c>
      <c r="I103" t="s">
        <v>441</v>
      </c>
      <c r="J103" t="s">
        <v>442</v>
      </c>
      <c r="K103" t="s">
        <v>443</v>
      </c>
      <c r="L103">
        <v>1339</v>
      </c>
      <c r="N103">
        <v>1007</v>
      </c>
      <c r="O103" t="s">
        <v>112</v>
      </c>
      <c r="P103" t="s">
        <v>112</v>
      </c>
      <c r="Q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G103">
        <v>0</v>
      </c>
      <c r="AH103">
        <v>3</v>
      </c>
      <c r="AI103">
        <v>-1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35">
      <c r="A104">
        <f>ROW(Source!A48)</f>
        <v>48</v>
      </c>
      <c r="B104">
        <v>502573405</v>
      </c>
      <c r="C104">
        <v>502573387</v>
      </c>
      <c r="D104">
        <v>338014469</v>
      </c>
      <c r="E104">
        <v>1</v>
      </c>
      <c r="F104">
        <v>1</v>
      </c>
      <c r="G104">
        <v>1</v>
      </c>
      <c r="H104">
        <v>3</v>
      </c>
      <c r="I104" t="s">
        <v>402</v>
      </c>
      <c r="J104" t="s">
        <v>403</v>
      </c>
      <c r="K104" t="s">
        <v>404</v>
      </c>
      <c r="L104">
        <v>1339</v>
      </c>
      <c r="N104">
        <v>1007</v>
      </c>
      <c r="O104" t="s">
        <v>112</v>
      </c>
      <c r="P104" t="s">
        <v>112</v>
      </c>
      <c r="Q104">
        <v>1</v>
      </c>
      <c r="X104">
        <v>7</v>
      </c>
      <c r="Y104">
        <v>2.44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7</v>
      </c>
      <c r="AH104">
        <v>2</v>
      </c>
      <c r="AI104">
        <v>502573396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35">
      <c r="A105">
        <f>ROW(Source!A50)</f>
        <v>50</v>
      </c>
      <c r="B105">
        <v>502573420</v>
      </c>
      <c r="C105">
        <v>502573407</v>
      </c>
      <c r="D105">
        <v>37776124</v>
      </c>
      <c r="E105">
        <v>1</v>
      </c>
      <c r="F105">
        <v>1</v>
      </c>
      <c r="G105">
        <v>1</v>
      </c>
      <c r="H105">
        <v>1</v>
      </c>
      <c r="I105" t="s">
        <v>407</v>
      </c>
      <c r="K105" t="s">
        <v>408</v>
      </c>
      <c r="L105">
        <v>1369</v>
      </c>
      <c r="N105">
        <v>1013</v>
      </c>
      <c r="O105" t="s">
        <v>325</v>
      </c>
      <c r="P105" t="s">
        <v>325</v>
      </c>
      <c r="Q105">
        <v>1</v>
      </c>
      <c r="X105">
        <v>213.64</v>
      </c>
      <c r="Y105">
        <v>0</v>
      </c>
      <c r="Z105">
        <v>0</v>
      </c>
      <c r="AA105">
        <v>0</v>
      </c>
      <c r="AB105">
        <v>8.74</v>
      </c>
      <c r="AC105">
        <v>0</v>
      </c>
      <c r="AD105">
        <v>1</v>
      </c>
      <c r="AE105">
        <v>1</v>
      </c>
      <c r="AF105" t="s">
        <v>64</v>
      </c>
      <c r="AG105">
        <v>245.68600000000001</v>
      </c>
      <c r="AH105">
        <v>2</v>
      </c>
      <c r="AI105">
        <v>502573408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35">
      <c r="A106">
        <f>ROW(Source!A50)</f>
        <v>50</v>
      </c>
      <c r="B106">
        <v>502573421</v>
      </c>
      <c r="C106">
        <v>502573407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72</v>
      </c>
      <c r="K106" t="s">
        <v>326</v>
      </c>
      <c r="L106">
        <v>608254</v>
      </c>
      <c r="N106">
        <v>1013</v>
      </c>
      <c r="O106" t="s">
        <v>327</v>
      </c>
      <c r="P106" t="s">
        <v>327</v>
      </c>
      <c r="Q106">
        <v>1</v>
      </c>
      <c r="X106">
        <v>88.65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63</v>
      </c>
      <c r="AG106">
        <v>110.8125</v>
      </c>
      <c r="AH106">
        <v>2</v>
      </c>
      <c r="AI106">
        <v>502573409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35">
      <c r="A107">
        <f>ROW(Source!A50)</f>
        <v>50</v>
      </c>
      <c r="B107">
        <v>502573422</v>
      </c>
      <c r="C107">
        <v>502573407</v>
      </c>
      <c r="D107">
        <v>338036808</v>
      </c>
      <c r="E107">
        <v>1</v>
      </c>
      <c r="F107">
        <v>1</v>
      </c>
      <c r="G107">
        <v>1</v>
      </c>
      <c r="H107">
        <v>2</v>
      </c>
      <c r="I107" t="s">
        <v>372</v>
      </c>
      <c r="J107" t="s">
        <v>373</v>
      </c>
      <c r="K107" t="s">
        <v>374</v>
      </c>
      <c r="L107">
        <v>1368</v>
      </c>
      <c r="N107">
        <v>91022270</v>
      </c>
      <c r="O107" t="s">
        <v>331</v>
      </c>
      <c r="P107" t="s">
        <v>331</v>
      </c>
      <c r="Q107">
        <v>1</v>
      </c>
      <c r="X107">
        <v>67.260000000000005</v>
      </c>
      <c r="Y107">
        <v>0</v>
      </c>
      <c r="Z107">
        <v>112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63</v>
      </c>
      <c r="AG107">
        <v>84.075000000000003</v>
      </c>
      <c r="AH107">
        <v>2</v>
      </c>
      <c r="AI107">
        <v>502573410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35">
      <c r="A108">
        <f>ROW(Source!A50)</f>
        <v>50</v>
      </c>
      <c r="B108">
        <v>502573423</v>
      </c>
      <c r="C108">
        <v>502573407</v>
      </c>
      <c r="D108">
        <v>338037075</v>
      </c>
      <c r="E108">
        <v>1</v>
      </c>
      <c r="F108">
        <v>1</v>
      </c>
      <c r="G108">
        <v>1</v>
      </c>
      <c r="H108">
        <v>2</v>
      </c>
      <c r="I108" t="s">
        <v>409</v>
      </c>
      <c r="J108" t="s">
        <v>410</v>
      </c>
      <c r="K108" t="s">
        <v>411</v>
      </c>
      <c r="L108">
        <v>1368</v>
      </c>
      <c r="N108">
        <v>91022270</v>
      </c>
      <c r="O108" t="s">
        <v>331</v>
      </c>
      <c r="P108" t="s">
        <v>331</v>
      </c>
      <c r="Q108">
        <v>1</v>
      </c>
      <c r="X108">
        <v>7.41</v>
      </c>
      <c r="Y108">
        <v>0</v>
      </c>
      <c r="Z108">
        <v>14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63</v>
      </c>
      <c r="AG108">
        <v>9.2624999999999993</v>
      </c>
      <c r="AH108">
        <v>2</v>
      </c>
      <c r="AI108">
        <v>502573411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35">
      <c r="A109">
        <f>ROW(Source!A50)</f>
        <v>50</v>
      </c>
      <c r="B109">
        <v>502573424</v>
      </c>
      <c r="C109">
        <v>502573407</v>
      </c>
      <c r="D109">
        <v>338037621</v>
      </c>
      <c r="E109">
        <v>1</v>
      </c>
      <c r="F109">
        <v>1</v>
      </c>
      <c r="G109">
        <v>1</v>
      </c>
      <c r="H109">
        <v>2</v>
      </c>
      <c r="I109" t="s">
        <v>412</v>
      </c>
      <c r="J109" t="s">
        <v>413</v>
      </c>
      <c r="K109" t="s">
        <v>414</v>
      </c>
      <c r="L109">
        <v>1368</v>
      </c>
      <c r="N109">
        <v>91022270</v>
      </c>
      <c r="O109" t="s">
        <v>331</v>
      </c>
      <c r="P109" t="s">
        <v>331</v>
      </c>
      <c r="Q109">
        <v>1</v>
      </c>
      <c r="X109">
        <v>21.39</v>
      </c>
      <c r="Y109">
        <v>0</v>
      </c>
      <c r="Z109">
        <v>175.25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63</v>
      </c>
      <c r="AG109">
        <v>26.737500000000001</v>
      </c>
      <c r="AH109">
        <v>2</v>
      </c>
      <c r="AI109">
        <v>502573412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35">
      <c r="A110">
        <f>ROW(Source!A50)</f>
        <v>50</v>
      </c>
      <c r="B110">
        <v>502573425</v>
      </c>
      <c r="C110">
        <v>502573407</v>
      </c>
      <c r="D110">
        <v>338037681</v>
      </c>
      <c r="E110">
        <v>1</v>
      </c>
      <c r="F110">
        <v>1</v>
      </c>
      <c r="G110">
        <v>1</v>
      </c>
      <c r="H110">
        <v>2</v>
      </c>
      <c r="I110" t="s">
        <v>415</v>
      </c>
      <c r="J110" t="s">
        <v>416</v>
      </c>
      <c r="K110" t="s">
        <v>417</v>
      </c>
      <c r="L110">
        <v>1368</v>
      </c>
      <c r="N110">
        <v>91022270</v>
      </c>
      <c r="O110" t="s">
        <v>331</v>
      </c>
      <c r="P110" t="s">
        <v>331</v>
      </c>
      <c r="Q110">
        <v>1</v>
      </c>
      <c r="X110">
        <v>1.68</v>
      </c>
      <c r="Y110">
        <v>0</v>
      </c>
      <c r="Z110">
        <v>30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63</v>
      </c>
      <c r="AG110">
        <v>2.1</v>
      </c>
      <c r="AH110">
        <v>2</v>
      </c>
      <c r="AI110">
        <v>502573413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35">
      <c r="A111">
        <f>ROW(Source!A50)</f>
        <v>50</v>
      </c>
      <c r="B111">
        <v>502573426</v>
      </c>
      <c r="C111">
        <v>502573407</v>
      </c>
      <c r="D111">
        <v>338039342</v>
      </c>
      <c r="E111">
        <v>1</v>
      </c>
      <c r="F111">
        <v>1</v>
      </c>
      <c r="G111">
        <v>1</v>
      </c>
      <c r="H111">
        <v>2</v>
      </c>
      <c r="I111" t="s">
        <v>355</v>
      </c>
      <c r="J111" t="s">
        <v>356</v>
      </c>
      <c r="K111" t="s">
        <v>357</v>
      </c>
      <c r="L111">
        <v>1368</v>
      </c>
      <c r="N111">
        <v>91022270</v>
      </c>
      <c r="O111" t="s">
        <v>331</v>
      </c>
      <c r="P111" t="s">
        <v>331</v>
      </c>
      <c r="Q111">
        <v>1</v>
      </c>
      <c r="X111">
        <v>13.96</v>
      </c>
      <c r="Y111">
        <v>0</v>
      </c>
      <c r="Z111">
        <v>87.17</v>
      </c>
      <c r="AA111">
        <v>11.6</v>
      </c>
      <c r="AB111">
        <v>0</v>
      </c>
      <c r="AC111">
        <v>0</v>
      </c>
      <c r="AD111">
        <v>1</v>
      </c>
      <c r="AE111">
        <v>0</v>
      </c>
      <c r="AF111" t="s">
        <v>63</v>
      </c>
      <c r="AG111">
        <v>17.45</v>
      </c>
      <c r="AH111">
        <v>2</v>
      </c>
      <c r="AI111">
        <v>502573414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35">
      <c r="A112">
        <f>ROW(Source!A50)</f>
        <v>50</v>
      </c>
      <c r="B112">
        <v>502573427</v>
      </c>
      <c r="C112">
        <v>502573407</v>
      </c>
      <c r="D112">
        <v>337978394</v>
      </c>
      <c r="E112">
        <v>1</v>
      </c>
      <c r="F112">
        <v>1</v>
      </c>
      <c r="G112">
        <v>1</v>
      </c>
      <c r="H112">
        <v>3</v>
      </c>
      <c r="I112" t="s">
        <v>418</v>
      </c>
      <c r="J112" t="s">
        <v>419</v>
      </c>
      <c r="K112" t="s">
        <v>420</v>
      </c>
      <c r="L112">
        <v>1348</v>
      </c>
      <c r="N112">
        <v>39568864</v>
      </c>
      <c r="O112" t="s">
        <v>381</v>
      </c>
      <c r="P112" t="s">
        <v>381</v>
      </c>
      <c r="Q112">
        <v>1000</v>
      </c>
      <c r="X112">
        <v>1.3299999999999999E-2</v>
      </c>
      <c r="Y112">
        <v>9749.99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1.3299999999999999E-2</v>
      </c>
      <c r="AH112">
        <v>2</v>
      </c>
      <c r="AI112">
        <v>502573415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35">
      <c r="A113">
        <f>ROW(Source!A50)</f>
        <v>50</v>
      </c>
      <c r="B113">
        <v>502573428</v>
      </c>
      <c r="C113">
        <v>502573407</v>
      </c>
      <c r="D113">
        <v>337972870</v>
      </c>
      <c r="E113">
        <v>1</v>
      </c>
      <c r="F113">
        <v>1</v>
      </c>
      <c r="G113">
        <v>1</v>
      </c>
      <c r="H113">
        <v>3</v>
      </c>
      <c r="I113" t="s">
        <v>421</v>
      </c>
      <c r="J113" t="s">
        <v>422</v>
      </c>
      <c r="K113" t="s">
        <v>423</v>
      </c>
      <c r="L113">
        <v>1348</v>
      </c>
      <c r="N113">
        <v>39568864</v>
      </c>
      <c r="O113" t="s">
        <v>381</v>
      </c>
      <c r="P113" t="s">
        <v>381</v>
      </c>
      <c r="Q113">
        <v>1000</v>
      </c>
      <c r="X113">
        <v>0.46</v>
      </c>
      <c r="Y113">
        <v>1500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0.46</v>
      </c>
      <c r="AH113">
        <v>2</v>
      </c>
      <c r="AI113">
        <v>502573416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35">
      <c r="A114">
        <f>ROW(Source!A50)</f>
        <v>50</v>
      </c>
      <c r="B114">
        <v>502573429</v>
      </c>
      <c r="C114">
        <v>502573407</v>
      </c>
      <c r="D114">
        <v>338009425</v>
      </c>
      <c r="E114">
        <v>1</v>
      </c>
      <c r="F114">
        <v>1</v>
      </c>
      <c r="G114">
        <v>1</v>
      </c>
      <c r="H114">
        <v>3</v>
      </c>
      <c r="I114" t="s">
        <v>424</v>
      </c>
      <c r="J114" t="s">
        <v>425</v>
      </c>
      <c r="K114" t="s">
        <v>426</v>
      </c>
      <c r="L114">
        <v>1339</v>
      </c>
      <c r="N114">
        <v>1007</v>
      </c>
      <c r="O114" t="s">
        <v>112</v>
      </c>
      <c r="P114" t="s">
        <v>112</v>
      </c>
      <c r="Q114">
        <v>1</v>
      </c>
      <c r="X114">
        <v>0.7</v>
      </c>
      <c r="Y114">
        <v>730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0.7</v>
      </c>
      <c r="AH114">
        <v>2</v>
      </c>
      <c r="AI114">
        <v>502573417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35">
      <c r="A115">
        <f>ROW(Source!A50)</f>
        <v>50</v>
      </c>
      <c r="B115">
        <v>502573430</v>
      </c>
      <c r="C115">
        <v>502573407</v>
      </c>
      <c r="D115">
        <v>338009637</v>
      </c>
      <c r="E115">
        <v>1</v>
      </c>
      <c r="F115">
        <v>1</v>
      </c>
      <c r="G115">
        <v>1</v>
      </c>
      <c r="H115">
        <v>3</v>
      </c>
      <c r="I115" t="s">
        <v>427</v>
      </c>
      <c r="J115" t="s">
        <v>428</v>
      </c>
      <c r="K115" t="s">
        <v>429</v>
      </c>
      <c r="L115">
        <v>1339</v>
      </c>
      <c r="N115">
        <v>1007</v>
      </c>
      <c r="O115" t="s">
        <v>112</v>
      </c>
      <c r="P115" t="s">
        <v>112</v>
      </c>
      <c r="Q115">
        <v>1</v>
      </c>
      <c r="X115">
        <v>0.8</v>
      </c>
      <c r="Y115">
        <v>497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0.8</v>
      </c>
      <c r="AH115">
        <v>2</v>
      </c>
      <c r="AI115">
        <v>502573418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35">
      <c r="A116">
        <f>ROW(Source!A50)</f>
        <v>50</v>
      </c>
      <c r="B116">
        <v>502573431</v>
      </c>
      <c r="C116">
        <v>502573407</v>
      </c>
      <c r="D116">
        <v>338012090</v>
      </c>
      <c r="E116">
        <v>1</v>
      </c>
      <c r="F116">
        <v>1</v>
      </c>
      <c r="G116">
        <v>1</v>
      </c>
      <c r="H116">
        <v>3</v>
      </c>
      <c r="I116" t="s">
        <v>444</v>
      </c>
      <c r="J116" t="s">
        <v>445</v>
      </c>
      <c r="K116" t="s">
        <v>446</v>
      </c>
      <c r="L116">
        <v>1339</v>
      </c>
      <c r="N116">
        <v>1007</v>
      </c>
      <c r="O116" t="s">
        <v>112</v>
      </c>
      <c r="P116" t="s">
        <v>112</v>
      </c>
      <c r="Q116">
        <v>1</v>
      </c>
      <c r="X116">
        <v>100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G116">
        <v>100</v>
      </c>
      <c r="AH116">
        <v>3</v>
      </c>
      <c r="AI116">
        <v>-1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35">
      <c r="A117">
        <f>ROW(Source!A52)</f>
        <v>52</v>
      </c>
      <c r="B117">
        <v>502573446</v>
      </c>
      <c r="C117">
        <v>502573433</v>
      </c>
      <c r="D117">
        <v>37776124</v>
      </c>
      <c r="E117">
        <v>1</v>
      </c>
      <c r="F117">
        <v>1</v>
      </c>
      <c r="G117">
        <v>1</v>
      </c>
      <c r="H117">
        <v>1</v>
      </c>
      <c r="I117" t="s">
        <v>407</v>
      </c>
      <c r="K117" t="s">
        <v>408</v>
      </c>
      <c r="L117">
        <v>1369</v>
      </c>
      <c r="N117">
        <v>1013</v>
      </c>
      <c r="O117" t="s">
        <v>325</v>
      </c>
      <c r="P117" t="s">
        <v>325</v>
      </c>
      <c r="Q117">
        <v>1</v>
      </c>
      <c r="X117">
        <v>213.64</v>
      </c>
      <c r="Y117">
        <v>0</v>
      </c>
      <c r="Z117">
        <v>0</v>
      </c>
      <c r="AA117">
        <v>0</v>
      </c>
      <c r="AB117">
        <v>8.74</v>
      </c>
      <c r="AC117">
        <v>0</v>
      </c>
      <c r="AD117">
        <v>1</v>
      </c>
      <c r="AE117">
        <v>1</v>
      </c>
      <c r="AF117" t="s">
        <v>64</v>
      </c>
      <c r="AG117">
        <v>245.68600000000001</v>
      </c>
      <c r="AH117">
        <v>2</v>
      </c>
      <c r="AI117">
        <v>502573434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35">
      <c r="A118">
        <f>ROW(Source!A52)</f>
        <v>52</v>
      </c>
      <c r="B118">
        <v>502573447</v>
      </c>
      <c r="C118">
        <v>502573433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72</v>
      </c>
      <c r="K118" t="s">
        <v>326</v>
      </c>
      <c r="L118">
        <v>608254</v>
      </c>
      <c r="N118">
        <v>1013</v>
      </c>
      <c r="O118" t="s">
        <v>327</v>
      </c>
      <c r="P118" t="s">
        <v>327</v>
      </c>
      <c r="Q118">
        <v>1</v>
      </c>
      <c r="X118">
        <v>88.65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F118" t="s">
        <v>63</v>
      </c>
      <c r="AG118">
        <v>110.8125</v>
      </c>
      <c r="AH118">
        <v>2</v>
      </c>
      <c r="AI118">
        <v>502573435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35">
      <c r="A119">
        <f>ROW(Source!A52)</f>
        <v>52</v>
      </c>
      <c r="B119">
        <v>502573448</v>
      </c>
      <c r="C119">
        <v>502573433</v>
      </c>
      <c r="D119">
        <v>338036808</v>
      </c>
      <c r="E119">
        <v>1</v>
      </c>
      <c r="F119">
        <v>1</v>
      </c>
      <c r="G119">
        <v>1</v>
      </c>
      <c r="H119">
        <v>2</v>
      </c>
      <c r="I119" t="s">
        <v>372</v>
      </c>
      <c r="J119" t="s">
        <v>373</v>
      </c>
      <c r="K119" t="s">
        <v>374</v>
      </c>
      <c r="L119">
        <v>1368</v>
      </c>
      <c r="N119">
        <v>91022270</v>
      </c>
      <c r="O119" t="s">
        <v>331</v>
      </c>
      <c r="P119" t="s">
        <v>331</v>
      </c>
      <c r="Q119">
        <v>1</v>
      </c>
      <c r="X119">
        <v>67.260000000000005</v>
      </c>
      <c r="Y119">
        <v>0</v>
      </c>
      <c r="Z119">
        <v>112</v>
      </c>
      <c r="AA119">
        <v>13.5</v>
      </c>
      <c r="AB119">
        <v>0</v>
      </c>
      <c r="AC119">
        <v>0</v>
      </c>
      <c r="AD119">
        <v>1</v>
      </c>
      <c r="AE119">
        <v>0</v>
      </c>
      <c r="AF119" t="s">
        <v>63</v>
      </c>
      <c r="AG119">
        <v>84.075000000000003</v>
      </c>
      <c r="AH119">
        <v>2</v>
      </c>
      <c r="AI119">
        <v>502573436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35">
      <c r="A120">
        <f>ROW(Source!A52)</f>
        <v>52</v>
      </c>
      <c r="B120">
        <v>502573449</v>
      </c>
      <c r="C120">
        <v>502573433</v>
      </c>
      <c r="D120">
        <v>338037075</v>
      </c>
      <c r="E120">
        <v>1</v>
      </c>
      <c r="F120">
        <v>1</v>
      </c>
      <c r="G120">
        <v>1</v>
      </c>
      <c r="H120">
        <v>2</v>
      </c>
      <c r="I120" t="s">
        <v>409</v>
      </c>
      <c r="J120" t="s">
        <v>410</v>
      </c>
      <c r="K120" t="s">
        <v>411</v>
      </c>
      <c r="L120">
        <v>1368</v>
      </c>
      <c r="N120">
        <v>91022270</v>
      </c>
      <c r="O120" t="s">
        <v>331</v>
      </c>
      <c r="P120" t="s">
        <v>331</v>
      </c>
      <c r="Q120">
        <v>1</v>
      </c>
      <c r="X120">
        <v>7.41</v>
      </c>
      <c r="Y120">
        <v>0</v>
      </c>
      <c r="Z120">
        <v>14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63</v>
      </c>
      <c r="AG120">
        <v>9.2624999999999993</v>
      </c>
      <c r="AH120">
        <v>2</v>
      </c>
      <c r="AI120">
        <v>502573437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35">
      <c r="A121">
        <f>ROW(Source!A52)</f>
        <v>52</v>
      </c>
      <c r="B121">
        <v>502573450</v>
      </c>
      <c r="C121">
        <v>502573433</v>
      </c>
      <c r="D121">
        <v>338037621</v>
      </c>
      <c r="E121">
        <v>1</v>
      </c>
      <c r="F121">
        <v>1</v>
      </c>
      <c r="G121">
        <v>1</v>
      </c>
      <c r="H121">
        <v>2</v>
      </c>
      <c r="I121" t="s">
        <v>412</v>
      </c>
      <c r="J121" t="s">
        <v>413</v>
      </c>
      <c r="K121" t="s">
        <v>414</v>
      </c>
      <c r="L121">
        <v>1368</v>
      </c>
      <c r="N121">
        <v>91022270</v>
      </c>
      <c r="O121" t="s">
        <v>331</v>
      </c>
      <c r="P121" t="s">
        <v>331</v>
      </c>
      <c r="Q121">
        <v>1</v>
      </c>
      <c r="X121">
        <v>21.39</v>
      </c>
      <c r="Y121">
        <v>0</v>
      </c>
      <c r="Z121">
        <v>175.25</v>
      </c>
      <c r="AA121">
        <v>11.6</v>
      </c>
      <c r="AB121">
        <v>0</v>
      </c>
      <c r="AC121">
        <v>0</v>
      </c>
      <c r="AD121">
        <v>1</v>
      </c>
      <c r="AE121">
        <v>0</v>
      </c>
      <c r="AF121" t="s">
        <v>63</v>
      </c>
      <c r="AG121">
        <v>26.737500000000001</v>
      </c>
      <c r="AH121">
        <v>2</v>
      </c>
      <c r="AI121">
        <v>502573438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35">
      <c r="A122">
        <f>ROW(Source!A52)</f>
        <v>52</v>
      </c>
      <c r="B122">
        <v>502573451</v>
      </c>
      <c r="C122">
        <v>502573433</v>
      </c>
      <c r="D122">
        <v>338037681</v>
      </c>
      <c r="E122">
        <v>1</v>
      </c>
      <c r="F122">
        <v>1</v>
      </c>
      <c r="G122">
        <v>1</v>
      </c>
      <c r="H122">
        <v>2</v>
      </c>
      <c r="I122" t="s">
        <v>415</v>
      </c>
      <c r="J122" t="s">
        <v>416</v>
      </c>
      <c r="K122" t="s">
        <v>417</v>
      </c>
      <c r="L122">
        <v>1368</v>
      </c>
      <c r="N122">
        <v>91022270</v>
      </c>
      <c r="O122" t="s">
        <v>331</v>
      </c>
      <c r="P122" t="s">
        <v>331</v>
      </c>
      <c r="Q122">
        <v>1</v>
      </c>
      <c r="X122">
        <v>1.68</v>
      </c>
      <c r="Y122">
        <v>0</v>
      </c>
      <c r="Z122">
        <v>30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63</v>
      </c>
      <c r="AG122">
        <v>2.1</v>
      </c>
      <c r="AH122">
        <v>2</v>
      </c>
      <c r="AI122">
        <v>502573439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35">
      <c r="A123">
        <f>ROW(Source!A52)</f>
        <v>52</v>
      </c>
      <c r="B123">
        <v>502573452</v>
      </c>
      <c r="C123">
        <v>502573433</v>
      </c>
      <c r="D123">
        <v>338039342</v>
      </c>
      <c r="E123">
        <v>1</v>
      </c>
      <c r="F123">
        <v>1</v>
      </c>
      <c r="G123">
        <v>1</v>
      </c>
      <c r="H123">
        <v>2</v>
      </c>
      <c r="I123" t="s">
        <v>355</v>
      </c>
      <c r="J123" t="s">
        <v>356</v>
      </c>
      <c r="K123" t="s">
        <v>357</v>
      </c>
      <c r="L123">
        <v>1368</v>
      </c>
      <c r="N123">
        <v>91022270</v>
      </c>
      <c r="O123" t="s">
        <v>331</v>
      </c>
      <c r="P123" t="s">
        <v>331</v>
      </c>
      <c r="Q123">
        <v>1</v>
      </c>
      <c r="X123">
        <v>13.96</v>
      </c>
      <c r="Y123">
        <v>0</v>
      </c>
      <c r="Z123">
        <v>87.17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63</v>
      </c>
      <c r="AG123">
        <v>17.45</v>
      </c>
      <c r="AH123">
        <v>2</v>
      </c>
      <c r="AI123">
        <v>502573440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35">
      <c r="A124">
        <f>ROW(Source!A52)</f>
        <v>52</v>
      </c>
      <c r="B124">
        <v>502573453</v>
      </c>
      <c r="C124">
        <v>502573433</v>
      </c>
      <c r="D124">
        <v>337978394</v>
      </c>
      <c r="E124">
        <v>1</v>
      </c>
      <c r="F124">
        <v>1</v>
      </c>
      <c r="G124">
        <v>1</v>
      </c>
      <c r="H124">
        <v>3</v>
      </c>
      <c r="I124" t="s">
        <v>418</v>
      </c>
      <c r="J124" t="s">
        <v>419</v>
      </c>
      <c r="K124" t="s">
        <v>420</v>
      </c>
      <c r="L124">
        <v>1348</v>
      </c>
      <c r="N124">
        <v>39568864</v>
      </c>
      <c r="O124" t="s">
        <v>381</v>
      </c>
      <c r="P124" t="s">
        <v>381</v>
      </c>
      <c r="Q124">
        <v>1000</v>
      </c>
      <c r="X124">
        <v>1.3299999999999999E-2</v>
      </c>
      <c r="Y124">
        <v>9749.99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1.3299999999999999E-2</v>
      </c>
      <c r="AH124">
        <v>2</v>
      </c>
      <c r="AI124">
        <v>502573441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35">
      <c r="A125">
        <f>ROW(Source!A52)</f>
        <v>52</v>
      </c>
      <c r="B125">
        <v>502573454</v>
      </c>
      <c r="C125">
        <v>502573433</v>
      </c>
      <c r="D125">
        <v>337972870</v>
      </c>
      <c r="E125">
        <v>1</v>
      </c>
      <c r="F125">
        <v>1</v>
      </c>
      <c r="G125">
        <v>1</v>
      </c>
      <c r="H125">
        <v>3</v>
      </c>
      <c r="I125" t="s">
        <v>421</v>
      </c>
      <c r="J125" t="s">
        <v>422</v>
      </c>
      <c r="K125" t="s">
        <v>423</v>
      </c>
      <c r="L125">
        <v>1348</v>
      </c>
      <c r="N125">
        <v>39568864</v>
      </c>
      <c r="O125" t="s">
        <v>381</v>
      </c>
      <c r="P125" t="s">
        <v>381</v>
      </c>
      <c r="Q125">
        <v>1000</v>
      </c>
      <c r="X125">
        <v>0.46</v>
      </c>
      <c r="Y125">
        <v>1500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0.46</v>
      </c>
      <c r="AH125">
        <v>2</v>
      </c>
      <c r="AI125">
        <v>502573442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35">
      <c r="A126">
        <f>ROW(Source!A52)</f>
        <v>52</v>
      </c>
      <c r="B126">
        <v>502573455</v>
      </c>
      <c r="C126">
        <v>502573433</v>
      </c>
      <c r="D126">
        <v>338009425</v>
      </c>
      <c r="E126">
        <v>1</v>
      </c>
      <c r="F126">
        <v>1</v>
      </c>
      <c r="G126">
        <v>1</v>
      </c>
      <c r="H126">
        <v>3</v>
      </c>
      <c r="I126" t="s">
        <v>424</v>
      </c>
      <c r="J126" t="s">
        <v>425</v>
      </c>
      <c r="K126" t="s">
        <v>426</v>
      </c>
      <c r="L126">
        <v>1339</v>
      </c>
      <c r="N126">
        <v>1007</v>
      </c>
      <c r="O126" t="s">
        <v>112</v>
      </c>
      <c r="P126" t="s">
        <v>112</v>
      </c>
      <c r="Q126">
        <v>1</v>
      </c>
      <c r="X126">
        <v>0.7</v>
      </c>
      <c r="Y126">
        <v>730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0.7</v>
      </c>
      <c r="AH126">
        <v>2</v>
      </c>
      <c r="AI126">
        <v>502573443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35">
      <c r="A127">
        <f>ROW(Source!A52)</f>
        <v>52</v>
      </c>
      <c r="B127">
        <v>502573456</v>
      </c>
      <c r="C127">
        <v>502573433</v>
      </c>
      <c r="D127">
        <v>338009637</v>
      </c>
      <c r="E127">
        <v>1</v>
      </c>
      <c r="F127">
        <v>1</v>
      </c>
      <c r="G127">
        <v>1</v>
      </c>
      <c r="H127">
        <v>3</v>
      </c>
      <c r="I127" t="s">
        <v>427</v>
      </c>
      <c r="J127" t="s">
        <v>428</v>
      </c>
      <c r="K127" t="s">
        <v>429</v>
      </c>
      <c r="L127">
        <v>1339</v>
      </c>
      <c r="N127">
        <v>1007</v>
      </c>
      <c r="O127" t="s">
        <v>112</v>
      </c>
      <c r="P127" t="s">
        <v>112</v>
      </c>
      <c r="Q127">
        <v>1</v>
      </c>
      <c r="X127">
        <v>0.8</v>
      </c>
      <c r="Y127">
        <v>497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0.8</v>
      </c>
      <c r="AH127">
        <v>2</v>
      </c>
      <c r="AI127">
        <v>502573444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35">
      <c r="A128">
        <f>ROW(Source!A52)</f>
        <v>52</v>
      </c>
      <c r="B128">
        <v>502573457</v>
      </c>
      <c r="C128">
        <v>502573433</v>
      </c>
      <c r="D128">
        <v>338012090</v>
      </c>
      <c r="E128">
        <v>1</v>
      </c>
      <c r="F128">
        <v>1</v>
      </c>
      <c r="G128">
        <v>1</v>
      </c>
      <c r="H128">
        <v>3</v>
      </c>
      <c r="I128" t="s">
        <v>444</v>
      </c>
      <c r="J128" t="s">
        <v>445</v>
      </c>
      <c r="K128" t="s">
        <v>446</v>
      </c>
      <c r="L128">
        <v>1339</v>
      </c>
      <c r="N128">
        <v>1007</v>
      </c>
      <c r="O128" t="s">
        <v>112</v>
      </c>
      <c r="P128" t="s">
        <v>112</v>
      </c>
      <c r="Q128">
        <v>1</v>
      </c>
      <c r="X128">
        <v>100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G128">
        <v>100</v>
      </c>
      <c r="AH128">
        <v>3</v>
      </c>
      <c r="AI128">
        <v>-1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35">
      <c r="A129">
        <f>ROW(Source!A88)</f>
        <v>88</v>
      </c>
      <c r="B129">
        <v>502573521</v>
      </c>
      <c r="C129">
        <v>502573520</v>
      </c>
      <c r="D129">
        <v>37777120</v>
      </c>
      <c r="E129">
        <v>1</v>
      </c>
      <c r="F129">
        <v>1</v>
      </c>
      <c r="G129">
        <v>1</v>
      </c>
      <c r="H129">
        <v>1</v>
      </c>
      <c r="I129" t="s">
        <v>430</v>
      </c>
      <c r="K129" t="s">
        <v>431</v>
      </c>
      <c r="L129">
        <v>1369</v>
      </c>
      <c r="N129">
        <v>1013</v>
      </c>
      <c r="O129" t="s">
        <v>325</v>
      </c>
      <c r="P129" t="s">
        <v>325</v>
      </c>
      <c r="Q129">
        <v>1</v>
      </c>
      <c r="X129">
        <v>0.57769999999999999</v>
      </c>
      <c r="Y129">
        <v>0</v>
      </c>
      <c r="Z129">
        <v>0</v>
      </c>
      <c r="AA129">
        <v>0</v>
      </c>
      <c r="AB129">
        <v>7.19</v>
      </c>
      <c r="AC129">
        <v>0</v>
      </c>
      <c r="AD129">
        <v>1</v>
      </c>
      <c r="AE129">
        <v>1</v>
      </c>
      <c r="AG129">
        <v>0.57769999999999999</v>
      </c>
      <c r="AH129">
        <v>2</v>
      </c>
      <c r="AI129">
        <v>502573521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35">
      <c r="A130">
        <f>ROW(Source!A88)</f>
        <v>88</v>
      </c>
      <c r="B130">
        <v>502573522</v>
      </c>
      <c r="C130">
        <v>502573520</v>
      </c>
      <c r="D130">
        <v>338039353</v>
      </c>
      <c r="E130">
        <v>1</v>
      </c>
      <c r="F130">
        <v>1</v>
      </c>
      <c r="G130">
        <v>1</v>
      </c>
      <c r="H130">
        <v>2</v>
      </c>
      <c r="I130" t="s">
        <v>432</v>
      </c>
      <c r="J130" t="s">
        <v>433</v>
      </c>
      <c r="K130" t="s">
        <v>434</v>
      </c>
      <c r="L130">
        <v>1368</v>
      </c>
      <c r="N130">
        <v>91022270</v>
      </c>
      <c r="O130" t="s">
        <v>331</v>
      </c>
      <c r="P130" t="s">
        <v>331</v>
      </c>
      <c r="Q130">
        <v>1</v>
      </c>
      <c r="X130">
        <v>0.28999999999999998</v>
      </c>
      <c r="Y130">
        <v>0</v>
      </c>
      <c r="Z130">
        <v>111</v>
      </c>
      <c r="AA130">
        <v>11.6</v>
      </c>
      <c r="AB130">
        <v>0</v>
      </c>
      <c r="AC130">
        <v>0</v>
      </c>
      <c r="AD130">
        <v>1</v>
      </c>
      <c r="AE130">
        <v>0</v>
      </c>
      <c r="AG130">
        <v>0.28999999999999998</v>
      </c>
      <c r="AH130">
        <v>2</v>
      </c>
      <c r="AI130">
        <v>502573522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35">
      <c r="A131">
        <f>ROW(Source!A89)</f>
        <v>89</v>
      </c>
      <c r="B131">
        <v>502573524</v>
      </c>
      <c r="C131">
        <v>502573523</v>
      </c>
      <c r="D131">
        <v>338039354</v>
      </c>
      <c r="E131">
        <v>1</v>
      </c>
      <c r="F131">
        <v>1</v>
      </c>
      <c r="G131">
        <v>1</v>
      </c>
      <c r="H131">
        <v>2</v>
      </c>
      <c r="I131" t="s">
        <v>338</v>
      </c>
      <c r="J131" t="s">
        <v>339</v>
      </c>
      <c r="K131" t="s">
        <v>340</v>
      </c>
      <c r="L131">
        <v>1368</v>
      </c>
      <c r="N131">
        <v>91022270</v>
      </c>
      <c r="O131" t="s">
        <v>331</v>
      </c>
      <c r="P131" t="s">
        <v>331</v>
      </c>
      <c r="Q131">
        <v>1</v>
      </c>
      <c r="X131">
        <v>0.17150000000000001</v>
      </c>
      <c r="Y131">
        <v>0</v>
      </c>
      <c r="Z131">
        <v>112.47</v>
      </c>
      <c r="AA131">
        <v>13.5</v>
      </c>
      <c r="AB131">
        <v>0</v>
      </c>
      <c r="AC131">
        <v>0</v>
      </c>
      <c r="AD131">
        <v>1</v>
      </c>
      <c r="AE131">
        <v>0</v>
      </c>
      <c r="AG131">
        <v>0.17150000000000001</v>
      </c>
      <c r="AH131">
        <v>2</v>
      </c>
      <c r="AI131">
        <v>502573524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Смета по ФЕР 10 граф</vt:lpstr>
      <vt:lpstr>Source</vt:lpstr>
      <vt:lpstr>SourceObSm</vt:lpstr>
      <vt:lpstr>SmtRes</vt:lpstr>
      <vt:lpstr>EtalonRes</vt:lpstr>
      <vt:lpstr>'Смета по ФЕР 10 граф'!Excel_BuiltIn_Print_Titles</vt:lpstr>
      <vt:lpstr>'Смета по ФЕР 10 граф'!Заголовки_для_печати</vt:lpstr>
      <vt:lpstr>'Смета по ФЕР 10 граф'!Область_печати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Palych Olenin</dc:creator>
  <dc:description/>
  <cp:lastModifiedBy>Palych Olenin</cp:lastModifiedBy>
  <cp:revision>7</cp:revision>
  <dcterms:created xsi:type="dcterms:W3CDTF">2019-12-16T17:47:54Z</dcterms:created>
  <dcterms:modified xsi:type="dcterms:W3CDTF">2019-12-16T17:47:54Z</dcterms:modified>
  <dc:language>ru-RU</dc:language>
</cp:coreProperties>
</file>