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35" windowHeight="12870" activeTab="0"/>
  </bookViews>
  <sheets>
    <sheet name="Расчет" sheetId="1" r:id="rId1"/>
    <sheet name="Материалы" sheetId="2" r:id="rId2"/>
    <sheet name="ЕСН" sheetId="3" r:id="rId3"/>
    <sheet name="Командировочные" sheetId="4" r:id="rId4"/>
  </sheets>
  <definedNames>
    <definedName name="_xlnm.Print_Area" localSheetId="0">'Расчет'!$A$1:$K$55</definedName>
  </definedNames>
  <calcPr fullCalcOnLoad="1"/>
</workbook>
</file>

<file path=xl/sharedStrings.xml><?xml version="1.0" encoding="utf-8"?>
<sst xmlns="http://schemas.openxmlformats.org/spreadsheetml/2006/main" count="141" uniqueCount="120">
  <si>
    <t>№п/п</t>
  </si>
  <si>
    <t>Наименование проектных (изыскательских) и других работ</t>
  </si>
  <si>
    <t>Исполнители</t>
  </si>
  <si>
    <t>должность</t>
  </si>
  <si>
    <t>Сумма (руб.)</t>
  </si>
  <si>
    <t>кол-во дней</t>
  </si>
  <si>
    <t>кол-во человек</t>
  </si>
  <si>
    <t>кол-во чел.-дней</t>
  </si>
  <si>
    <t>Итого з/п непосредственных исполнителей</t>
  </si>
  <si>
    <t>Раздел 1. Определение трудоемкости (трудозатрат) выполняемой работы</t>
  </si>
  <si>
    <t>Раздел 2. Определение стоимости работы</t>
  </si>
  <si>
    <t>№ п/п</t>
  </si>
  <si>
    <t>Наименование показателей</t>
  </si>
  <si>
    <t>Единица измерения</t>
  </si>
  <si>
    <t>Значение показателей</t>
  </si>
  <si>
    <t>Общая з/п непосредственных исполнителей</t>
  </si>
  <si>
    <t>руб.</t>
  </si>
  <si>
    <t>Коэффициент отношения з/п непосредственных исполнителей к себестоимости</t>
  </si>
  <si>
    <t>По договору</t>
  </si>
  <si>
    <t>Наименование предприятия (виды работ)</t>
  </si>
  <si>
    <t>Наименование организации-исполнителя</t>
  </si>
  <si>
    <t>Наименование организации-заказчика</t>
  </si>
  <si>
    <t>Себестоимость, исходя из установленного коэффициента (стр.1 : стр.2)</t>
  </si>
  <si>
    <t>Уровень рентабельности (по отношению к себестоимости)</t>
  </si>
  <si>
    <t>%</t>
  </si>
  <si>
    <t>Прибыль (стр.3 х стр.4 / 100)</t>
  </si>
  <si>
    <t>Стоимость работы (стр.3 + стр.5)</t>
  </si>
  <si>
    <t>Итого</t>
  </si>
  <si>
    <t>НДС 18 %</t>
  </si>
  <si>
    <t>Итого с НДС</t>
  </si>
  <si>
    <t>(всего стоимость работы по расчету)</t>
  </si>
  <si>
    <t>(в том числе НДС)</t>
  </si>
  <si>
    <t>Исполнитель:</t>
  </si>
  <si>
    <t>Директор</t>
  </si>
  <si>
    <t>Составитель сметы</t>
  </si>
  <si>
    <t>Заказчик:</t>
  </si>
  <si>
    <t>МП</t>
  </si>
  <si>
    <t>Приложение 1 к смете</t>
  </si>
  <si>
    <t>к Договору № _________ от ___________</t>
  </si>
  <si>
    <t>МАТЕРИАЛЫ</t>
  </si>
  <si>
    <t>Наименование</t>
  </si>
  <si>
    <t>Ед.изм.</t>
  </si>
  <si>
    <t>Кол-во</t>
  </si>
  <si>
    <t>Цена 
за 1 ед.</t>
  </si>
  <si>
    <t xml:space="preserve">Сумма </t>
  </si>
  <si>
    <t>1</t>
  </si>
  <si>
    <t>шт.</t>
  </si>
  <si>
    <t>2</t>
  </si>
  <si>
    <t>3</t>
  </si>
  <si>
    <t>ИТОГО:</t>
  </si>
  <si>
    <t>Генеральный директор
ООО "Компания СФЕРА"</t>
  </si>
  <si>
    <t xml:space="preserve">Главный бухгалтер </t>
  </si>
  <si>
    <t>ЕСН</t>
  </si>
  <si>
    <t>мат-лы</t>
  </si>
  <si>
    <t>команд.</t>
  </si>
  <si>
    <t>ИТОГО</t>
  </si>
  <si>
    <t>Приложение 3 к смете</t>
  </si>
  <si>
    <t>к Договору №__________  от ___________</t>
  </si>
  <si>
    <t>Единый социальный налог</t>
  </si>
  <si>
    <t>тыс.руб.</t>
  </si>
  <si>
    <t xml:space="preserve"> (руб.)</t>
  </si>
  <si>
    <t>Наименование фондов</t>
  </si>
  <si>
    <t>% от фонда заработной платы</t>
  </si>
  <si>
    <t>Сумма</t>
  </si>
  <si>
    <t>c 2006 г.</t>
  </si>
  <si>
    <t>Пенсионный фонд</t>
  </si>
  <si>
    <t>Фонд социального страхования</t>
  </si>
  <si>
    <t>Медицинское страхование</t>
  </si>
  <si>
    <t>Генеральный директор
ООО "Компания СФЕРА"                                                     Ю.Ю. Петрушов</t>
  </si>
  <si>
    <t xml:space="preserve">Укрупнённый расчет № </t>
  </si>
  <si>
    <t>№ пп</t>
  </si>
  <si>
    <t>Расчет на 1 объект</t>
  </si>
  <si>
    <t>Всего на бригаду из 2-х  человек</t>
  </si>
  <si>
    <t>Затраты трудочасов на выполнение работ по одному объекту,  чел/час</t>
  </si>
  <si>
    <t xml:space="preserve">Суточные, 100 руб/сут </t>
  </si>
  <si>
    <t>Итого, руб. без НДС</t>
  </si>
  <si>
    <t>Подрядчик</t>
  </si>
  <si>
    <t>Заказчик</t>
  </si>
  <si>
    <t>Генеральный директор</t>
  </si>
  <si>
    <r>
      <t xml:space="preserve"> </t>
    </r>
    <r>
      <rPr>
        <b/>
        <sz val="12"/>
        <rFont val="Arial"/>
        <family val="2"/>
      </rPr>
      <t xml:space="preserve">Дополнительные затраты </t>
    </r>
  </si>
  <si>
    <t>Медицинское страхование (1,1 + 2,0)</t>
  </si>
  <si>
    <t>несч.случаи</t>
  </si>
  <si>
    <t>Соц.страх. от несчастных случаев</t>
  </si>
  <si>
    <t>Федеральный бюджет</t>
  </si>
  <si>
    <t>c 2010 г.</t>
  </si>
  <si>
    <t>(руб.)</t>
  </si>
  <si>
    <t xml:space="preserve">себестоимость прочих затрат и накладных </t>
  </si>
  <si>
    <t xml:space="preserve">Взносы на обязательное соц.страх. от </t>
  </si>
  <si>
    <t>несчастных случаев ( 0,2 или 0,5 в завис.</t>
  </si>
  <si>
    <t xml:space="preserve"> от организации)</t>
  </si>
  <si>
    <t>то же самое</t>
  </si>
  <si>
    <t>(от 10-15% максимум 18-20%  Сборник разъяснений по применению СБЦ 2005 г. вопрос 1)</t>
  </si>
  <si>
    <r>
      <t xml:space="preserve">Продолжительность ППО средняя, рабочих дней на все 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 объекты, дней</t>
    </r>
  </si>
  <si>
    <t xml:space="preserve">Кол-во поездок (туда-обратно) Москва - Казань, если учесть продолжительность командировки не более 24 рабочих дней   </t>
  </si>
  <si>
    <t>Стоимость проезда командированных в поезде Москва-Казань,  на 1 чел. туда-обратно 4800 руб. (12 поездок * 4800руб.)</t>
  </si>
  <si>
    <t xml:space="preserve">Проживание в гостинице, 1200 руб/чел. в сутки  </t>
  </si>
  <si>
    <t>Смета № 1</t>
  </si>
  <si>
    <t>Определение достоверности сметной стоимости</t>
  </si>
  <si>
    <t>О.С. Бриткин</t>
  </si>
  <si>
    <t>Материалы для проведения сварочных работ</t>
  </si>
  <si>
    <t>Рабочий (сварщик) 6 разряда</t>
  </si>
  <si>
    <t>Начальник участка</t>
  </si>
  <si>
    <t>Сварочные работы</t>
  </si>
  <si>
    <t>Ср. зарплата в день (руб.) (Ц чел-часа*8 часов)</t>
  </si>
  <si>
    <t>Справочно: Расчет средней оплаты труда инженера технического обслуживания (МДС83-1.99)</t>
  </si>
  <si>
    <t>З=Т*((С1*Кт)*(1+Ki)хКрхКп+ПВ)*КТВ*КТУ</t>
  </si>
  <si>
    <t>Районный коэффициент-согласно - Приложению №4 МДС83-1.99</t>
  </si>
  <si>
    <t xml:space="preserve">Состав бригады по РТО </t>
  </si>
  <si>
    <t xml:space="preserve">Месячная тарифная ставка, руб. С1(база 1999г.) </t>
  </si>
  <si>
    <t>Тарифный Коэффициент, Кт (по отношению к тар. ставке-должность инженера)</t>
  </si>
  <si>
    <t>Надбавки Кi за проф. Мастерство-20%,(п.3.11 МДС83-1.99)</t>
  </si>
  <si>
    <t>Надбавка за тразъездной характер работы-75% взамен суточных-п.3.12</t>
  </si>
  <si>
    <t>Кп - Коэффициент премий по организации</t>
  </si>
  <si>
    <t>Доплата за выслугу лет (п.3.16)-от 3 до 5 лет К=0,8/12мес.</t>
  </si>
  <si>
    <t>Основной отпуск (ст.139ТК)</t>
  </si>
  <si>
    <t>Индекс перехода к 2001*1,8 (Северный коэффициент)</t>
  </si>
  <si>
    <t>Районный коэффициент (Прил.4 МДС83-1.989)</t>
  </si>
  <si>
    <t>Стоимость человеко-часа</t>
  </si>
  <si>
    <t xml:space="preserve">Рабочий 6 разряда </t>
  </si>
  <si>
    <t>Индексы 4 кв.2016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</si>
</sst>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%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6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4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 CE"/>
      <family val="1"/>
    </font>
    <font>
      <sz val="12"/>
      <color indexed="9"/>
      <name val="Times New Roman"/>
      <family val="1"/>
    </font>
    <font>
      <sz val="10"/>
      <color indexed="9"/>
      <name val="Times New Roman CE"/>
      <family val="1"/>
    </font>
    <font>
      <b/>
      <sz val="14"/>
      <name val="Times New Roman CE"/>
      <family val="1"/>
    </font>
    <font>
      <b/>
      <sz val="12"/>
      <name val="Times New Roman Cyr"/>
      <family val="1"/>
    </font>
    <font>
      <sz val="10"/>
      <color indexed="12"/>
      <name val="Arial Cyr"/>
      <family val="2"/>
    </font>
    <font>
      <sz val="12"/>
      <name val="Times New Roman Cyr"/>
      <family val="1"/>
    </font>
    <font>
      <sz val="12"/>
      <name val="Arial"/>
      <family val="2"/>
    </font>
    <font>
      <b/>
      <sz val="14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8"/>
      <name val="Arial Cyr"/>
      <family val="0"/>
    </font>
    <font>
      <b/>
      <sz val="10"/>
      <name val="Arial"/>
      <family val="2"/>
    </font>
    <font>
      <b/>
      <u val="single"/>
      <sz val="10"/>
      <name val="Arial Cyr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Font="1" applyAlignment="1">
      <alignment horizontal="right"/>
      <protection/>
    </xf>
    <xf numFmtId="0" fontId="0" fillId="0" borderId="0" xfId="55" applyFont="1" applyAlignment="1">
      <alignment horizontal="center"/>
      <protection/>
    </xf>
    <xf numFmtId="3" fontId="0" fillId="0" borderId="0" xfId="55" applyNumberFormat="1" applyFont="1">
      <alignment/>
      <protection/>
    </xf>
    <xf numFmtId="3" fontId="0" fillId="0" borderId="0" xfId="55" applyNumberFormat="1" applyFont="1" applyAlignment="1">
      <alignment horizontal="center"/>
      <protection/>
    </xf>
    <xf numFmtId="0" fontId="6" fillId="0" borderId="15" xfId="55" applyFont="1" applyBorder="1" applyAlignment="1">
      <alignment horizontal="center" wrapText="1"/>
      <protection/>
    </xf>
    <xf numFmtId="0" fontId="6" fillId="0" borderId="16" xfId="55" applyFont="1" applyBorder="1" applyAlignment="1">
      <alignment horizontal="center" vertical="center"/>
      <protection/>
    </xf>
    <xf numFmtId="3" fontId="6" fillId="0" borderId="16" xfId="55" applyNumberFormat="1" applyFont="1" applyBorder="1" applyAlignment="1">
      <alignment horizontal="center" vertical="center" wrapText="1"/>
      <protection/>
    </xf>
    <xf numFmtId="3" fontId="6" fillId="0" borderId="19" xfId="55" applyNumberFormat="1" applyFont="1" applyBorder="1" applyAlignment="1">
      <alignment horizontal="center" vertical="center"/>
      <protection/>
    </xf>
    <xf numFmtId="49" fontId="7" fillId="0" borderId="12" xfId="55" applyNumberFormat="1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top" wrapText="1"/>
      <protection/>
    </xf>
    <xf numFmtId="174" fontId="7" fillId="0" borderId="10" xfId="55" applyNumberFormat="1" applyFont="1" applyBorder="1" applyAlignment="1">
      <alignment horizontal="center" vertical="top" wrapText="1"/>
      <protection/>
    </xf>
    <xf numFmtId="4" fontId="7" fillId="0" borderId="10" xfId="55" applyNumberFormat="1" applyFont="1" applyBorder="1" applyAlignment="1">
      <alignment horizontal="right" vertical="top" wrapText="1"/>
      <protection/>
    </xf>
    <xf numFmtId="174" fontId="7" fillId="0" borderId="10" xfId="55" applyNumberFormat="1" applyFont="1" applyBorder="1" applyAlignment="1">
      <alignment horizontal="center"/>
      <protection/>
    </xf>
    <xf numFmtId="4" fontId="7" fillId="0" borderId="10" xfId="55" applyNumberFormat="1" applyFont="1" applyBorder="1" applyAlignment="1">
      <alignment horizontal="right" vertical="top"/>
      <protection/>
    </xf>
    <xf numFmtId="4" fontId="7" fillId="0" borderId="10" xfId="55" applyNumberFormat="1" applyFont="1" applyBorder="1" applyAlignment="1">
      <alignment horizontal="right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1" xfId="55" applyFont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top" wrapText="1"/>
      <protection/>
    </xf>
    <xf numFmtId="3" fontId="7" fillId="0" borderId="21" xfId="55" applyNumberFormat="1" applyFont="1" applyBorder="1" applyAlignment="1">
      <alignment horizontal="center"/>
      <protection/>
    </xf>
    <xf numFmtId="4" fontId="6" fillId="0" borderId="22" xfId="55" applyNumberFormat="1" applyFont="1" applyBorder="1" applyAlignment="1">
      <alignment horizontal="right"/>
      <protection/>
    </xf>
    <xf numFmtId="4" fontId="0" fillId="0" borderId="0" xfId="55" applyNumberFormat="1" applyFont="1" applyAlignment="1">
      <alignment horizontal="center"/>
      <protection/>
    </xf>
    <xf numFmtId="0" fontId="0" fillId="0" borderId="0" xfId="55" applyBorder="1">
      <alignment/>
      <protection/>
    </xf>
    <xf numFmtId="0" fontId="6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7" fillId="0" borderId="0" xfId="55" applyFont="1" applyBorder="1">
      <alignment/>
      <protection/>
    </xf>
    <xf numFmtId="0" fontId="2" fillId="0" borderId="0" xfId="55" applyFont="1" applyAlignment="1">
      <alignment horizontal="left"/>
      <protection/>
    </xf>
    <xf numFmtId="3" fontId="0" fillId="0" borderId="0" xfId="55" applyNumberFormat="1" applyFont="1" applyBorder="1" applyAlignment="1">
      <alignment horizontal="right"/>
      <protection/>
    </xf>
    <xf numFmtId="0" fontId="3" fillId="0" borderId="0" xfId="55" applyFont="1">
      <alignment/>
      <protection/>
    </xf>
    <xf numFmtId="0" fontId="3" fillId="0" borderId="0" xfId="55" applyFont="1" applyFill="1" applyBorder="1">
      <alignment/>
      <protection/>
    </xf>
    <xf numFmtId="0" fontId="8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right"/>
      <protection/>
    </xf>
    <xf numFmtId="1" fontId="3" fillId="0" borderId="0" xfId="55" applyNumberFormat="1" applyFont="1">
      <alignment/>
      <protection/>
    </xf>
    <xf numFmtId="0" fontId="9" fillId="0" borderId="0" xfId="54" applyFont="1" applyAlignment="1">
      <alignment horizontal="right" vertical="center"/>
      <protection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55" applyAlignment="1">
      <alignment horizontal="center"/>
      <protection/>
    </xf>
    <xf numFmtId="0" fontId="0" fillId="0" borderId="0" xfId="55" applyAlignment="1">
      <alignment horizontal="left"/>
      <protection/>
    </xf>
    <xf numFmtId="0" fontId="10" fillId="0" borderId="0" xfId="55" applyFont="1" applyAlignment="1">
      <alignment horizontal="center" vertical="top" wrapText="1"/>
      <protection/>
    </xf>
    <xf numFmtId="0" fontId="11" fillId="0" borderId="0" xfId="55" applyFont="1" applyAlignment="1">
      <alignment horizontal="right"/>
      <protection/>
    </xf>
    <xf numFmtId="4" fontId="12" fillId="0" borderId="0" xfId="55" applyNumberFormat="1" applyFont="1">
      <alignment/>
      <protection/>
    </xf>
    <xf numFmtId="0" fontId="13" fillId="0" borderId="0" xfId="55" applyFont="1" applyAlignment="1">
      <alignment horizontal="left"/>
      <protection/>
    </xf>
    <xf numFmtId="0" fontId="14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4" fontId="3" fillId="0" borderId="0" xfId="55" applyNumberFormat="1" applyFont="1">
      <alignment/>
      <protection/>
    </xf>
    <xf numFmtId="0" fontId="11" fillId="0" borderId="0" xfId="55" applyFont="1" applyAlignment="1">
      <alignment horizontal="left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6" fillId="0" borderId="0" xfId="55" applyFont="1" applyAlignment="1">
      <alignment horizontal="right"/>
      <protection/>
    </xf>
    <xf numFmtId="0" fontId="16" fillId="0" borderId="0" xfId="55" applyFont="1">
      <alignment/>
      <protection/>
    </xf>
    <xf numFmtId="0" fontId="17" fillId="0" borderId="11" xfId="55" applyFont="1" applyBorder="1" applyAlignment="1">
      <alignment horizontal="center"/>
      <protection/>
    </xf>
    <xf numFmtId="0" fontId="17" fillId="0" borderId="23" xfId="55" applyFont="1" applyBorder="1">
      <alignment/>
      <protection/>
    </xf>
    <xf numFmtId="0" fontId="17" fillId="0" borderId="24" xfId="55" applyFont="1" applyBorder="1">
      <alignment/>
      <protection/>
    </xf>
    <xf numFmtId="0" fontId="17" fillId="0" borderId="25" xfId="55" applyFont="1" applyBorder="1">
      <alignment/>
      <protection/>
    </xf>
    <xf numFmtId="175" fontId="18" fillId="0" borderId="11" xfId="55" applyNumberFormat="1" applyFont="1" applyBorder="1" applyAlignment="1">
      <alignment horizontal="center"/>
      <protection/>
    </xf>
    <xf numFmtId="174" fontId="18" fillId="0" borderId="11" xfId="55" applyNumberFormat="1" applyFont="1" applyBorder="1">
      <alignment/>
      <protection/>
    </xf>
    <xf numFmtId="176" fontId="16" fillId="0" borderId="0" xfId="55" applyNumberFormat="1" applyFont="1">
      <alignment/>
      <protection/>
    </xf>
    <xf numFmtId="0" fontId="17" fillId="0" borderId="10" xfId="55" applyFont="1" applyBorder="1" applyAlignment="1">
      <alignment horizontal="center"/>
      <protection/>
    </xf>
    <xf numFmtId="0" fontId="17" fillId="0" borderId="26" xfId="55" applyFont="1" applyBorder="1">
      <alignment/>
      <protection/>
    </xf>
    <xf numFmtId="0" fontId="17" fillId="0" borderId="27" xfId="55" applyFont="1" applyBorder="1">
      <alignment/>
      <protection/>
    </xf>
    <xf numFmtId="0" fontId="17" fillId="0" borderId="28" xfId="55" applyFont="1" applyBorder="1">
      <alignment/>
      <protection/>
    </xf>
    <xf numFmtId="0" fontId="19" fillId="0" borderId="26" xfId="55" applyFont="1" applyBorder="1">
      <alignment/>
      <protection/>
    </xf>
    <xf numFmtId="174" fontId="20" fillId="0" borderId="11" xfId="55" applyNumberFormat="1" applyFont="1" applyBorder="1">
      <alignment/>
      <protection/>
    </xf>
    <xf numFmtId="0" fontId="16" fillId="0" borderId="0" xfId="55" applyFont="1" applyFill="1" applyBorder="1">
      <alignment/>
      <protection/>
    </xf>
    <xf numFmtId="0" fontId="18" fillId="0" borderId="0" xfId="55" applyFont="1" applyAlignment="1">
      <alignment/>
      <protection/>
    </xf>
    <xf numFmtId="0" fontId="18" fillId="0" borderId="0" xfId="53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0" fillId="0" borderId="29" xfId="53" applyFont="1" applyBorder="1">
      <alignment/>
      <protection/>
    </xf>
    <xf numFmtId="0" fontId="20" fillId="0" borderId="29" xfId="53" applyFont="1" applyBorder="1" applyAlignment="1">
      <alignment horizontal="center"/>
      <protection/>
    </xf>
    <xf numFmtId="0" fontId="20" fillId="0" borderId="29" xfId="53" applyFont="1" applyBorder="1" applyAlignment="1">
      <alignment horizontal="center" wrapText="1"/>
      <protection/>
    </xf>
    <xf numFmtId="0" fontId="20" fillId="0" borderId="29" xfId="53" applyFont="1" applyBorder="1" applyAlignment="1">
      <alignment wrapText="1"/>
      <protection/>
    </xf>
    <xf numFmtId="0" fontId="18" fillId="0" borderId="30" xfId="53" applyFont="1" applyBorder="1" applyAlignment="1">
      <alignment horizontal="center"/>
      <protection/>
    </xf>
    <xf numFmtId="0" fontId="18" fillId="0" borderId="30" xfId="53" applyFont="1" applyBorder="1" applyAlignment="1">
      <alignment wrapText="1"/>
      <protection/>
    </xf>
    <xf numFmtId="3" fontId="18" fillId="0" borderId="30" xfId="53" applyNumberFormat="1" applyFont="1" applyBorder="1" applyAlignment="1">
      <alignment horizontal="right"/>
      <protection/>
    </xf>
    <xf numFmtId="3" fontId="18" fillId="0" borderId="30" xfId="53" applyNumberFormat="1" applyFont="1" applyBorder="1">
      <alignment/>
      <protection/>
    </xf>
    <xf numFmtId="0" fontId="18" fillId="0" borderId="31" xfId="53" applyFont="1" applyBorder="1" applyAlignment="1">
      <alignment horizontal="center"/>
      <protection/>
    </xf>
    <xf numFmtId="0" fontId="18" fillId="0" borderId="31" xfId="53" applyFont="1" applyBorder="1" applyAlignment="1">
      <alignment wrapText="1"/>
      <protection/>
    </xf>
    <xf numFmtId="3" fontId="18" fillId="0" borderId="31" xfId="53" applyNumberFormat="1" applyFont="1" applyBorder="1">
      <alignment/>
      <protection/>
    </xf>
    <xf numFmtId="3" fontId="18" fillId="0" borderId="31" xfId="53" applyNumberFormat="1" applyFont="1" applyBorder="1" applyAlignment="1">
      <alignment/>
      <protection/>
    </xf>
    <xf numFmtId="0" fontId="18" fillId="0" borderId="31" xfId="53" applyFont="1" applyBorder="1">
      <alignment/>
      <protection/>
    </xf>
    <xf numFmtId="0" fontId="20" fillId="0" borderId="32" xfId="53" applyFont="1" applyBorder="1" applyAlignment="1">
      <alignment horizontal="center"/>
      <protection/>
    </xf>
    <xf numFmtId="0" fontId="20" fillId="0" borderId="32" xfId="53" applyFont="1" applyFill="1" applyBorder="1">
      <alignment/>
      <protection/>
    </xf>
    <xf numFmtId="3" fontId="20" fillId="0" borderId="32" xfId="53" applyNumberFormat="1" applyFont="1" applyBorder="1" applyAlignment="1">
      <alignment/>
      <protection/>
    </xf>
    <xf numFmtId="0" fontId="22" fillId="0" borderId="0" xfId="53" applyFont="1">
      <alignment/>
      <protection/>
    </xf>
    <xf numFmtId="0" fontId="23" fillId="0" borderId="0" xfId="53" applyFont="1">
      <alignment/>
      <protection/>
    </xf>
    <xf numFmtId="0" fontId="20" fillId="0" borderId="0" xfId="53" applyFont="1" applyBorder="1" applyAlignment="1">
      <alignment horizontal="center"/>
      <protection/>
    </xf>
    <xf numFmtId="0" fontId="20" fillId="0" borderId="0" xfId="53" applyFont="1" applyFill="1" applyBorder="1">
      <alignment/>
      <protection/>
    </xf>
    <xf numFmtId="3" fontId="20" fillId="0" borderId="0" xfId="53" applyNumberFormat="1" applyFont="1" applyBorder="1" applyAlignment="1">
      <alignment/>
      <protection/>
    </xf>
    <xf numFmtId="0" fontId="25" fillId="0" borderId="10" xfId="55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175" fontId="18" fillId="0" borderId="10" xfId="55" applyNumberFormat="1" applyFont="1" applyBorder="1" applyAlignment="1">
      <alignment horizontal="center"/>
      <protection/>
    </xf>
    <xf numFmtId="0" fontId="26" fillId="0" borderId="0" xfId="42" applyAlignment="1" applyProtection="1">
      <alignment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right"/>
      <protection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9" fontId="0" fillId="0" borderId="0" xfId="55" applyNumberFormat="1">
      <alignment/>
      <protection/>
    </xf>
    <xf numFmtId="174" fontId="20" fillId="0" borderId="10" xfId="55" applyNumberFormat="1" applyFont="1" applyBorder="1">
      <alignment/>
      <protection/>
    </xf>
    <xf numFmtId="0" fontId="28" fillId="0" borderId="0" xfId="55" applyFont="1">
      <alignment/>
      <protection/>
    </xf>
    <xf numFmtId="0" fontId="29" fillId="0" borderId="0" xfId="54" applyFont="1" applyAlignment="1">
      <alignment horizontal="right" vertic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33" xfId="0" applyFont="1" applyBorder="1" applyAlignment="1">
      <alignment vertical="top" wrapText="1"/>
    </xf>
    <xf numFmtId="0" fontId="32" fillId="0" borderId="34" xfId="0" applyFont="1" applyBorder="1" applyAlignment="1">
      <alignment vertical="top" wrapText="1"/>
    </xf>
    <xf numFmtId="0" fontId="33" fillId="0" borderId="34" xfId="0" applyFont="1" applyBorder="1" applyAlignment="1">
      <alignment vertical="top" wrapText="1"/>
    </xf>
    <xf numFmtId="9" fontId="32" fillId="0" borderId="34" xfId="0" applyNumberFormat="1" applyFont="1" applyBorder="1" applyAlignment="1">
      <alignment vertical="top" wrapText="1"/>
    </xf>
    <xf numFmtId="186" fontId="32" fillId="0" borderId="34" xfId="0" applyNumberFormat="1" applyFont="1" applyBorder="1" applyAlignment="1">
      <alignment vertical="top" wrapText="1"/>
    </xf>
    <xf numFmtId="2" fontId="32" fillId="0" borderId="34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2" fillId="0" borderId="35" xfId="0" applyFont="1" applyBorder="1" applyAlignment="1">
      <alignment vertical="top" wrapText="1"/>
    </xf>
    <xf numFmtId="0" fontId="32" fillId="0" borderId="36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9" fontId="32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4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 vertical="top" wrapText="1"/>
    </xf>
    <xf numFmtId="0" fontId="31" fillId="0" borderId="56" xfId="0" applyFont="1" applyBorder="1" applyAlignment="1">
      <alignment horizontal="center" vertical="top" wrapText="1"/>
    </xf>
    <xf numFmtId="0" fontId="31" fillId="0" borderId="57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2" fontId="3" fillId="0" borderId="43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4" fontId="3" fillId="0" borderId="49" xfId="0" applyNumberFormat="1" applyFont="1" applyBorder="1" applyAlignment="1">
      <alignment horizontal="center"/>
    </xf>
    <xf numFmtId="0" fontId="31" fillId="0" borderId="58" xfId="0" applyFont="1" applyBorder="1" applyAlignment="1">
      <alignment vertical="top" wrapText="1"/>
    </xf>
    <xf numFmtId="0" fontId="31" fillId="0" borderId="59" xfId="0" applyFont="1" applyBorder="1" applyAlignment="1">
      <alignment vertical="top" wrapText="1"/>
    </xf>
    <xf numFmtId="0" fontId="31" fillId="0" borderId="55" xfId="0" applyFont="1" applyBorder="1" applyAlignment="1">
      <alignment vertical="top" wrapText="1"/>
    </xf>
    <xf numFmtId="0" fontId="31" fillId="0" borderId="56" xfId="0" applyFont="1" applyBorder="1" applyAlignment="1">
      <alignment vertical="top" wrapText="1"/>
    </xf>
    <xf numFmtId="0" fontId="2" fillId="0" borderId="4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3" fillId="0" borderId="14" xfId="0" applyFont="1" applyBorder="1" applyAlignment="1">
      <alignment horizontal="center"/>
    </xf>
    <xf numFmtId="0" fontId="3" fillId="0" borderId="34" xfId="0" applyFont="1" applyBorder="1" applyAlignment="1">
      <alignment horizontal="left" vertical="top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right" vertical="top"/>
    </xf>
    <xf numFmtId="0" fontId="2" fillId="0" borderId="44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7" fillId="0" borderId="10" xfId="55" applyFont="1" applyBorder="1" applyAlignment="1">
      <alignment horizontal="left" vertical="center" wrapText="1"/>
      <protection/>
    </xf>
    <xf numFmtId="0" fontId="6" fillId="0" borderId="61" xfId="55" applyFont="1" applyBorder="1" applyAlignment="1">
      <alignment horizontal="left"/>
      <protection/>
    </xf>
    <xf numFmtId="0" fontId="2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/>
      <protection/>
    </xf>
    <xf numFmtId="0" fontId="6" fillId="0" borderId="41" xfId="55" applyFont="1" applyBorder="1" applyAlignment="1">
      <alignment horizontal="center" vertical="center"/>
      <protection/>
    </xf>
    <xf numFmtId="0" fontId="6" fillId="0" borderId="53" xfId="55" applyFont="1" applyBorder="1" applyAlignment="1">
      <alignment horizontal="center" vertical="center"/>
      <protection/>
    </xf>
    <xf numFmtId="0" fontId="6" fillId="0" borderId="42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vertical="top" wrapText="1"/>
      <protection/>
    </xf>
    <xf numFmtId="0" fontId="10" fillId="0" borderId="0" xfId="55" applyFont="1" applyAlignment="1">
      <alignment horizontal="center" vertical="top" wrapText="1"/>
      <protection/>
    </xf>
    <xf numFmtId="0" fontId="15" fillId="0" borderId="10" xfId="55" applyFont="1" applyBorder="1" applyAlignment="1">
      <alignment horizontal="center" vertical="center"/>
      <protection/>
    </xf>
    <xf numFmtId="0" fontId="0" fillId="0" borderId="0" xfId="55" applyAlignment="1">
      <alignment/>
      <protection/>
    </xf>
    <xf numFmtId="0" fontId="21" fillId="0" borderId="0" xfId="53" applyFont="1" applyAlignment="1">
      <alignment horizontal="center" vertical="center" wrapText="1"/>
      <protection/>
    </xf>
    <xf numFmtId="0" fontId="18" fillId="0" borderId="0" xfId="53" applyFont="1" applyAlignment="1">
      <alignment horizontal="center" wrapText="1"/>
      <protection/>
    </xf>
    <xf numFmtId="0" fontId="20" fillId="0" borderId="0" xfId="53" applyFont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андировочные Оренбург ред" xfId="53"/>
    <cellStyle name="Обычный_ППО ИК Вологда 38" xfId="54"/>
    <cellStyle name="Обычный_Расчет доп смет ПИР 10.09.12.06 Волог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1">
      <selection activeCell="G38" sqref="G38:G39"/>
    </sheetView>
  </sheetViews>
  <sheetFormatPr defaultColWidth="9.125" defaultRowHeight="12.75"/>
  <cols>
    <col min="1" max="1" width="14.875" style="2" customWidth="1"/>
    <col min="2" max="2" width="9.25390625" style="2" customWidth="1"/>
    <col min="3" max="3" width="16.25390625" style="2" customWidth="1"/>
    <col min="4" max="4" width="18.00390625" style="2" customWidth="1"/>
    <col min="5" max="5" width="10.125" style="2" customWidth="1"/>
    <col min="6" max="6" width="9.25390625" style="2" customWidth="1"/>
    <col min="7" max="8" width="10.125" style="2" customWidth="1"/>
    <col min="9" max="9" width="8.00390625" style="2" customWidth="1"/>
    <col min="10" max="10" width="8.875" style="2" customWidth="1"/>
    <col min="11" max="11" width="14.25390625" style="2" customWidth="1"/>
    <col min="12" max="12" width="1.37890625" style="2" customWidth="1"/>
    <col min="13" max="13" width="17.75390625" style="2" hidden="1" customWidth="1"/>
    <col min="14" max="14" width="15.125" style="2" hidden="1" customWidth="1"/>
    <col min="15" max="15" width="18.25390625" style="2" hidden="1" customWidth="1"/>
    <col min="16" max="16" width="13.75390625" style="2" hidden="1" customWidth="1"/>
    <col min="17" max="17" width="15.375" style="2" hidden="1" customWidth="1"/>
    <col min="18" max="18" width="11.875" style="2" hidden="1" customWidth="1"/>
    <col min="19" max="19" width="17.75390625" style="2" hidden="1" customWidth="1"/>
    <col min="20" max="16384" width="9.125" style="2" customWidth="1"/>
  </cols>
  <sheetData>
    <row r="1" spans="1:3" ht="15">
      <c r="A1" s="196" t="s">
        <v>18</v>
      </c>
      <c r="B1" s="196"/>
      <c r="C1" s="123"/>
    </row>
    <row r="3" ht="17.25">
      <c r="D3" s="110" t="s">
        <v>96</v>
      </c>
    </row>
    <row r="5" spans="1:11" ht="15">
      <c r="A5" s="2" t="s">
        <v>19</v>
      </c>
      <c r="D5" s="196" t="s">
        <v>97</v>
      </c>
      <c r="E5" s="196"/>
      <c r="F5" s="196"/>
      <c r="G5" s="196"/>
      <c r="H5" s="196"/>
      <c r="I5" s="196"/>
      <c r="J5" s="196"/>
      <c r="K5" s="196"/>
    </row>
    <row r="7" spans="1:11" ht="15">
      <c r="A7" s="2" t="s">
        <v>20</v>
      </c>
      <c r="D7" s="196"/>
      <c r="E7" s="196"/>
      <c r="F7" s="196"/>
      <c r="G7" s="196"/>
      <c r="H7" s="196"/>
      <c r="I7" s="196"/>
      <c r="J7" s="196"/>
      <c r="K7" s="196"/>
    </row>
    <row r="9" spans="1:11" ht="15">
      <c r="A9" s="2" t="s">
        <v>21</v>
      </c>
      <c r="D9" s="196"/>
      <c r="E9" s="196"/>
      <c r="F9" s="196"/>
      <c r="G9" s="196"/>
      <c r="H9" s="196"/>
      <c r="I9" s="196"/>
      <c r="J9" s="196"/>
      <c r="K9" s="196"/>
    </row>
    <row r="11" ht="15">
      <c r="A11" s="1" t="s">
        <v>9</v>
      </c>
    </row>
    <row r="13" spans="1:11" ht="15.75" customHeight="1">
      <c r="A13" s="215" t="s">
        <v>0</v>
      </c>
      <c r="B13" s="217" t="s">
        <v>1</v>
      </c>
      <c r="C13" s="141" t="s">
        <v>2</v>
      </c>
      <c r="D13" s="142"/>
      <c r="E13" s="142"/>
      <c r="F13" s="142"/>
      <c r="G13" s="143"/>
      <c r="H13" s="166" t="s">
        <v>103</v>
      </c>
      <c r="I13" s="167"/>
      <c r="J13" s="166" t="s">
        <v>4</v>
      </c>
      <c r="K13" s="167"/>
    </row>
    <row r="14" spans="1:11" ht="30" thickBot="1">
      <c r="A14" s="216"/>
      <c r="B14" s="218"/>
      <c r="C14" s="144" t="s">
        <v>3</v>
      </c>
      <c r="D14" s="145"/>
      <c r="E14" s="8" t="s">
        <v>6</v>
      </c>
      <c r="F14" s="8" t="s">
        <v>5</v>
      </c>
      <c r="G14" s="8" t="s">
        <v>7</v>
      </c>
      <c r="H14" s="168"/>
      <c r="I14" s="169"/>
      <c r="J14" s="168"/>
      <c r="K14" s="169"/>
    </row>
    <row r="15" spans="1:11" s="4" customFormat="1" ht="15.75" thickBot="1">
      <c r="A15" s="11">
        <v>1</v>
      </c>
      <c r="B15" s="11">
        <v>2</v>
      </c>
      <c r="C15" s="146">
        <v>3</v>
      </c>
      <c r="D15" s="147"/>
      <c r="E15" s="11">
        <v>4</v>
      </c>
      <c r="F15" s="11">
        <v>5</v>
      </c>
      <c r="G15" s="11">
        <v>6</v>
      </c>
      <c r="H15" s="146">
        <v>7</v>
      </c>
      <c r="I15" s="147"/>
      <c r="J15" s="146">
        <v>8</v>
      </c>
      <c r="K15" s="147"/>
    </row>
    <row r="16" spans="1:13" ht="15.75" customHeight="1">
      <c r="A16" s="5">
        <v>1</v>
      </c>
      <c r="B16" s="9" t="s">
        <v>102</v>
      </c>
      <c r="C16" s="148" t="s">
        <v>101</v>
      </c>
      <c r="D16" s="149"/>
      <c r="E16" s="5">
        <v>1</v>
      </c>
      <c r="F16" s="5">
        <v>1</v>
      </c>
      <c r="G16" s="5">
        <f>E16*F16</f>
        <v>1</v>
      </c>
      <c r="H16" s="170">
        <f>368.07*8</f>
        <v>2944.56</v>
      </c>
      <c r="I16" s="171"/>
      <c r="J16" s="181">
        <f>G16*H16</f>
        <v>2944.56</v>
      </c>
      <c r="K16" s="182"/>
      <c r="M16" s="1"/>
    </row>
    <row r="17" spans="1:11" ht="34.5" customHeight="1">
      <c r="A17" s="3">
        <v>2</v>
      </c>
      <c r="B17" s="9" t="s">
        <v>102</v>
      </c>
      <c r="C17" s="150" t="s">
        <v>100</v>
      </c>
      <c r="D17" s="151"/>
      <c r="E17" s="3">
        <v>2</v>
      </c>
      <c r="F17" s="3">
        <v>12</v>
      </c>
      <c r="G17" s="3">
        <f>E17*F17</f>
        <v>24</v>
      </c>
      <c r="H17" s="172">
        <f>255.05*8</f>
        <v>2040.4</v>
      </c>
      <c r="I17" s="173"/>
      <c r="J17" s="183">
        <f>G17*H17</f>
        <v>48969.600000000006</v>
      </c>
      <c r="K17" s="184"/>
    </row>
    <row r="18" spans="1:11" ht="15">
      <c r="A18" s="152" t="s">
        <v>8</v>
      </c>
      <c r="B18" s="153"/>
      <c r="C18" s="153"/>
      <c r="D18" s="153"/>
      <c r="G18" s="117">
        <f>SUM(G16:G17)</f>
        <v>25</v>
      </c>
      <c r="H18" s="117"/>
      <c r="J18" s="185">
        <f>SUM(J16:J17)</f>
        <v>51914.16</v>
      </c>
      <c r="K18" s="186"/>
    </row>
    <row r="20" ht="15">
      <c r="A20" s="1" t="s">
        <v>10</v>
      </c>
    </row>
    <row r="21" ht="15.75" thickBot="1"/>
    <row r="22" spans="1:11" ht="15.75" thickBot="1">
      <c r="A22" s="14" t="s">
        <v>11</v>
      </c>
      <c r="B22" s="219" t="s">
        <v>12</v>
      </c>
      <c r="C22" s="219"/>
      <c r="D22" s="219"/>
      <c r="E22" s="219" t="s">
        <v>13</v>
      </c>
      <c r="F22" s="219"/>
      <c r="G22" s="219"/>
      <c r="H22" s="174" t="s">
        <v>14</v>
      </c>
      <c r="I22" s="175"/>
      <c r="J22" s="175"/>
      <c r="K22" s="176"/>
    </row>
    <row r="23" spans="1:11" ht="15.75" thickBot="1">
      <c r="A23" s="10">
        <v>1</v>
      </c>
      <c r="B23" s="174">
        <v>2</v>
      </c>
      <c r="C23" s="175"/>
      <c r="D23" s="194"/>
      <c r="E23" s="174">
        <v>3</v>
      </c>
      <c r="F23" s="175"/>
      <c r="G23" s="194"/>
      <c r="H23" s="174">
        <v>4</v>
      </c>
      <c r="I23" s="175"/>
      <c r="J23" s="175"/>
      <c r="K23" s="176"/>
    </row>
    <row r="24" spans="1:13" ht="15">
      <c r="A24" s="13">
        <v>1</v>
      </c>
      <c r="B24" s="201" t="s">
        <v>15</v>
      </c>
      <c r="C24" s="201"/>
      <c r="D24" s="201"/>
      <c r="E24" s="202" t="s">
        <v>16</v>
      </c>
      <c r="F24" s="202"/>
      <c r="G24" s="202"/>
      <c r="H24" s="187">
        <f>J18</f>
        <v>51914.16</v>
      </c>
      <c r="I24" s="188"/>
      <c r="J24" s="188"/>
      <c r="K24" s="189"/>
      <c r="M24" s="2" t="s">
        <v>86</v>
      </c>
    </row>
    <row r="25" spans="1:17" ht="30.75" customHeight="1">
      <c r="A25" s="6">
        <f>A24+1</f>
        <v>2</v>
      </c>
      <c r="B25" s="211" t="s">
        <v>17</v>
      </c>
      <c r="C25" s="212"/>
      <c r="D25" s="213"/>
      <c r="E25" s="203"/>
      <c r="F25" s="203"/>
      <c r="G25" s="203"/>
      <c r="H25" s="154">
        <f>H24/M26</f>
        <v>0.5825480529586305</v>
      </c>
      <c r="I25" s="155"/>
      <c r="J25" s="155"/>
      <c r="K25" s="156"/>
      <c r="M25" s="121" t="s">
        <v>55</v>
      </c>
      <c r="N25" s="54" t="s">
        <v>53</v>
      </c>
      <c r="O25" s="54" t="s">
        <v>52</v>
      </c>
      <c r="P25" s="54" t="s">
        <v>54</v>
      </c>
      <c r="Q25" s="54" t="s">
        <v>81</v>
      </c>
    </row>
    <row r="26" spans="1:19" ht="15">
      <c r="A26" s="6">
        <f>A25+1</f>
        <v>3</v>
      </c>
      <c r="B26" s="214" t="s">
        <v>22</v>
      </c>
      <c r="C26" s="214"/>
      <c r="D26" s="214"/>
      <c r="E26" s="203" t="s">
        <v>16</v>
      </c>
      <c r="F26" s="203"/>
      <c r="G26" s="203"/>
      <c r="H26" s="154">
        <f>H24/H25</f>
        <v>89115.66992</v>
      </c>
      <c r="I26" s="155"/>
      <c r="J26" s="155"/>
      <c r="K26" s="156"/>
      <c r="M26" s="56">
        <f>H24+N26+O26+P26+Q26</f>
        <v>89115.66992000001</v>
      </c>
      <c r="N26" s="56">
        <f>Материалы!I15</f>
        <v>23600</v>
      </c>
      <c r="O26" s="55">
        <f>ЕСН!F16</f>
        <v>13497.681600000004</v>
      </c>
      <c r="P26" s="115">
        <f>Командировочные!E18</f>
        <v>0</v>
      </c>
      <c r="Q26" s="2">
        <f>ЕСН!F19</f>
        <v>103.82832</v>
      </c>
      <c r="S26" s="2">
        <v>120927</v>
      </c>
    </row>
    <row r="27" spans="1:13" ht="15">
      <c r="A27" s="6">
        <f>A26+1</f>
        <v>4</v>
      </c>
      <c r="B27" s="214" t="s">
        <v>23</v>
      </c>
      <c r="C27" s="214"/>
      <c r="D27" s="214"/>
      <c r="E27" s="203" t="s">
        <v>24</v>
      </c>
      <c r="F27" s="203"/>
      <c r="G27" s="203"/>
      <c r="H27" s="154">
        <v>15</v>
      </c>
      <c r="I27" s="155"/>
      <c r="J27" s="155"/>
      <c r="K27" s="156"/>
      <c r="M27" s="2" t="s">
        <v>91</v>
      </c>
    </row>
    <row r="28" spans="1:11" ht="15">
      <c r="A28" s="6">
        <f>A27+1</f>
        <v>5</v>
      </c>
      <c r="B28" s="214" t="s">
        <v>25</v>
      </c>
      <c r="C28" s="214"/>
      <c r="D28" s="214"/>
      <c r="E28" s="203" t="s">
        <v>16</v>
      </c>
      <c r="F28" s="203"/>
      <c r="G28" s="203"/>
      <c r="H28" s="154">
        <f>H26*H27/100</f>
        <v>13367.350488</v>
      </c>
      <c r="I28" s="155"/>
      <c r="J28" s="155"/>
      <c r="K28" s="156"/>
    </row>
    <row r="29" spans="1:13" ht="15.75" thickBot="1">
      <c r="A29" s="7">
        <f>A28+1</f>
        <v>6</v>
      </c>
      <c r="B29" s="204" t="s">
        <v>26</v>
      </c>
      <c r="C29" s="204"/>
      <c r="D29" s="204"/>
      <c r="E29" s="200" t="s">
        <v>16</v>
      </c>
      <c r="F29" s="200"/>
      <c r="G29" s="200"/>
      <c r="H29" s="157">
        <f>H26+H28</f>
        <v>102483.020408</v>
      </c>
      <c r="I29" s="158"/>
      <c r="J29" s="158"/>
      <c r="K29" s="159"/>
      <c r="M29" s="116"/>
    </row>
    <row r="30" spans="2:11" ht="15">
      <c r="B30" s="205" t="s">
        <v>27</v>
      </c>
      <c r="C30" s="206"/>
      <c r="D30" s="207"/>
      <c r="E30" s="202" t="s">
        <v>16</v>
      </c>
      <c r="F30" s="202"/>
      <c r="G30" s="202"/>
      <c r="H30" s="160">
        <f>H29</f>
        <v>102483.020408</v>
      </c>
      <c r="I30" s="161"/>
      <c r="J30" s="161"/>
      <c r="K30" s="162"/>
    </row>
    <row r="31" spans="2:11" ht="15">
      <c r="B31" s="208" t="s">
        <v>28</v>
      </c>
      <c r="C31" s="209"/>
      <c r="D31" s="210"/>
      <c r="E31" s="203" t="s">
        <v>16</v>
      </c>
      <c r="F31" s="203"/>
      <c r="G31" s="203"/>
      <c r="H31" s="163">
        <f>H30*0.18</f>
        <v>18446.943673439997</v>
      </c>
      <c r="I31" s="164"/>
      <c r="J31" s="164"/>
      <c r="K31" s="165"/>
    </row>
    <row r="32" spans="2:11" ht="15.75" thickBot="1">
      <c r="B32" s="197" t="s">
        <v>29</v>
      </c>
      <c r="C32" s="198"/>
      <c r="D32" s="199"/>
      <c r="E32" s="200" t="s">
        <v>16</v>
      </c>
      <c r="F32" s="200"/>
      <c r="G32" s="200"/>
      <c r="H32" s="138">
        <f>H30+H31</f>
        <v>120929.96408143999</v>
      </c>
      <c r="I32" s="139"/>
      <c r="J32" s="139"/>
      <c r="K32" s="140"/>
    </row>
    <row r="34" spans="1:11" ht="19.5" customHeight="1">
      <c r="A34" s="124" t="s">
        <v>104</v>
      </c>
      <c r="B34"/>
      <c r="C34"/>
      <c r="D34"/>
      <c r="E34"/>
      <c r="F34"/>
      <c r="G34"/>
      <c r="H34"/>
      <c r="I34"/>
      <c r="J34"/>
      <c r="K34"/>
    </row>
    <row r="35" spans="1:11" ht="19.5" customHeight="1">
      <c r="A35" t="s">
        <v>105</v>
      </c>
      <c r="B35"/>
      <c r="C35"/>
      <c r="D35"/>
      <c r="E35"/>
      <c r="F35"/>
      <c r="G35"/>
      <c r="H35"/>
      <c r="I35"/>
      <c r="J35"/>
      <c r="K35"/>
    </row>
    <row r="36" spans="1:11" ht="19.5" customHeight="1">
      <c r="A36" s="137" t="s">
        <v>119</v>
      </c>
      <c r="B36" s="137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ht="19.5" customHeight="1">
      <c r="A37" t="s">
        <v>106</v>
      </c>
      <c r="B37"/>
      <c r="C37"/>
      <c r="D37"/>
      <c r="E37"/>
      <c r="F37"/>
      <c r="G37"/>
      <c r="H37"/>
      <c r="I37"/>
      <c r="J37"/>
      <c r="K37"/>
    </row>
    <row r="38" spans="1:11" ht="19.5" customHeight="1">
      <c r="A38" s="190" t="s">
        <v>107</v>
      </c>
      <c r="B38" s="192" t="s">
        <v>108</v>
      </c>
      <c r="C38" s="192" t="s">
        <v>109</v>
      </c>
      <c r="D38" s="192" t="s">
        <v>110</v>
      </c>
      <c r="E38" s="177" t="s">
        <v>111</v>
      </c>
      <c r="F38" s="192" t="s">
        <v>112</v>
      </c>
      <c r="G38" s="177" t="s">
        <v>113</v>
      </c>
      <c r="H38" s="177" t="s">
        <v>114</v>
      </c>
      <c r="I38" s="192" t="s">
        <v>115</v>
      </c>
      <c r="J38" s="177" t="s">
        <v>116</v>
      </c>
      <c r="K38" s="179" t="s">
        <v>117</v>
      </c>
    </row>
    <row r="39" spans="1:11" ht="84.75" customHeight="1" thickBot="1">
      <c r="A39" s="191"/>
      <c r="B39" s="193"/>
      <c r="C39" s="193"/>
      <c r="D39" s="193"/>
      <c r="E39" s="178"/>
      <c r="F39" s="193"/>
      <c r="G39" s="178"/>
      <c r="H39" s="178"/>
      <c r="I39" s="193"/>
      <c r="J39" s="178"/>
      <c r="K39" s="180"/>
    </row>
    <row r="40" spans="1:11" ht="19.5" customHeight="1" thickBot="1">
      <c r="A40" s="132">
        <v>2</v>
      </c>
      <c r="B40" s="125">
        <v>3</v>
      </c>
      <c r="C40" s="125">
        <v>4</v>
      </c>
      <c r="D40" s="125">
        <v>5</v>
      </c>
      <c r="E40" s="125"/>
      <c r="F40" s="125">
        <v>6</v>
      </c>
      <c r="G40" s="125">
        <v>7</v>
      </c>
      <c r="H40" s="125"/>
      <c r="I40" s="125">
        <v>8</v>
      </c>
      <c r="J40" s="125"/>
      <c r="K40" s="133">
        <v>9</v>
      </c>
    </row>
    <row r="41" spans="1:11" ht="33" customHeight="1" thickBot="1">
      <c r="A41" s="126" t="s">
        <v>101</v>
      </c>
      <c r="B41" s="127">
        <v>3.97</v>
      </c>
      <c r="C41" s="127">
        <v>2.35</v>
      </c>
      <c r="D41" s="128">
        <v>0.2</v>
      </c>
      <c r="E41" s="128">
        <v>0</v>
      </c>
      <c r="F41" s="128">
        <v>1</v>
      </c>
      <c r="G41" s="129">
        <f>0.8/12</f>
        <v>0.06666666666666667</v>
      </c>
      <c r="H41" s="130">
        <f>B41*C41*28/29.6/12</f>
        <v>0.7354335585585586</v>
      </c>
      <c r="I41" s="127">
        <v>7.3</v>
      </c>
      <c r="J41" s="127">
        <v>1.8</v>
      </c>
      <c r="K41" s="130">
        <f>B41*C41*(1+0.2+1+0.067+H41)*I41*J41</f>
        <v>368.06721904327713</v>
      </c>
    </row>
    <row r="42" spans="1:11" ht="49.5" customHeight="1">
      <c r="A42" s="134" t="s">
        <v>118</v>
      </c>
      <c r="B42" s="135">
        <v>3.97</v>
      </c>
      <c r="C42" s="135">
        <v>1.8</v>
      </c>
      <c r="D42" s="136">
        <v>0.2</v>
      </c>
      <c r="E42" s="136">
        <v>0</v>
      </c>
      <c r="F42" s="136">
        <v>1</v>
      </c>
      <c r="G42" s="129">
        <f>0.8/12</f>
        <v>0.06666666666666667</v>
      </c>
      <c r="H42" s="130">
        <f>B42*C42*28/29.6/12</f>
        <v>0.5633108108108108</v>
      </c>
      <c r="I42" s="135">
        <v>7.3</v>
      </c>
      <c r="J42" s="135">
        <v>1.8</v>
      </c>
      <c r="K42" s="130">
        <f>B42*C42*(1+0.2+1+0.067+H42)*I42*J42</f>
        <v>265.76176985027035</v>
      </c>
    </row>
    <row r="43" spans="2:10" ht="19.5" customHeight="1">
      <c r="B43" s="123"/>
      <c r="C43" s="123"/>
      <c r="D43" s="123"/>
      <c r="E43" s="123"/>
      <c r="F43" s="123"/>
      <c r="G43" s="123"/>
      <c r="H43" s="123"/>
      <c r="I43" s="123"/>
      <c r="J43" s="123"/>
    </row>
    <row r="44" spans="2:10" ht="20.25" customHeight="1">
      <c r="B44" s="195" t="s">
        <v>30</v>
      </c>
      <c r="C44" s="195"/>
      <c r="D44" s="195"/>
      <c r="E44" s="195"/>
      <c r="F44" s="195"/>
      <c r="G44" s="195"/>
      <c r="H44" s="195"/>
      <c r="I44" s="195"/>
      <c r="J44" s="122"/>
    </row>
    <row r="45" spans="2:10" ht="18.75" customHeight="1">
      <c r="B45" s="196"/>
      <c r="C45" s="196"/>
      <c r="D45" s="196"/>
      <c r="E45" s="196"/>
      <c r="F45" s="196"/>
      <c r="G45" s="196"/>
      <c r="H45" s="196"/>
      <c r="I45" s="196"/>
      <c r="J45" s="123"/>
    </row>
    <row r="46" spans="2:10" ht="20.25">
      <c r="B46" s="195" t="s">
        <v>31</v>
      </c>
      <c r="C46" s="195"/>
      <c r="D46" s="195"/>
      <c r="E46" s="195"/>
      <c r="F46" s="195"/>
      <c r="G46" s="195"/>
      <c r="H46" s="195"/>
      <c r="I46" s="195"/>
      <c r="J46" s="122"/>
    </row>
    <row r="48" spans="2:12" ht="15">
      <c r="B48" s="1" t="s">
        <v>32</v>
      </c>
      <c r="C48" s="1"/>
      <c r="E48" s="1" t="s">
        <v>35</v>
      </c>
      <c r="L48" s="4"/>
    </row>
    <row r="50" spans="2:5" ht="15">
      <c r="B50" s="2" t="s">
        <v>33</v>
      </c>
      <c r="E50" s="2" t="s">
        <v>33</v>
      </c>
    </row>
    <row r="52" ht="15">
      <c r="B52" s="2" t="s">
        <v>34</v>
      </c>
    </row>
    <row r="53" spans="2:3" ht="15">
      <c r="B53" s="12"/>
      <c r="C53" s="12"/>
    </row>
    <row r="55" spans="2:5" ht="15">
      <c r="B55" s="2" t="s">
        <v>36</v>
      </c>
      <c r="E55" s="2" t="s">
        <v>36</v>
      </c>
    </row>
    <row r="57" spans="2:3" ht="15">
      <c r="B57" s="112"/>
      <c r="C57" s="112"/>
    </row>
  </sheetData>
  <sheetProtection/>
  <mergeCells count="69">
    <mergeCell ref="D5:K5"/>
    <mergeCell ref="D7:K7"/>
    <mergeCell ref="D9:K9"/>
    <mergeCell ref="A13:A14"/>
    <mergeCell ref="B13:B14"/>
    <mergeCell ref="B22:D22"/>
    <mergeCell ref="E22:G22"/>
    <mergeCell ref="A1:B1"/>
    <mergeCell ref="B30:D30"/>
    <mergeCell ref="B31:D31"/>
    <mergeCell ref="E27:G27"/>
    <mergeCell ref="E28:G28"/>
    <mergeCell ref="E29:G29"/>
    <mergeCell ref="B25:D25"/>
    <mergeCell ref="B26:D26"/>
    <mergeCell ref="B27:D27"/>
    <mergeCell ref="B28:D28"/>
    <mergeCell ref="B46:I46"/>
    <mergeCell ref="B32:D32"/>
    <mergeCell ref="E32:G32"/>
    <mergeCell ref="B24:D24"/>
    <mergeCell ref="E30:G30"/>
    <mergeCell ref="E31:G31"/>
    <mergeCell ref="B29:D29"/>
    <mergeCell ref="E24:G24"/>
    <mergeCell ref="E25:G25"/>
    <mergeCell ref="E26:G26"/>
    <mergeCell ref="G38:G39"/>
    <mergeCell ref="H38:H39"/>
    <mergeCell ref="I38:I39"/>
    <mergeCell ref="E23:G23"/>
    <mergeCell ref="B44:I44"/>
    <mergeCell ref="B45:I45"/>
    <mergeCell ref="B23:D23"/>
    <mergeCell ref="A38:A39"/>
    <mergeCell ref="B38:B39"/>
    <mergeCell ref="C38:C39"/>
    <mergeCell ref="D38:D39"/>
    <mergeCell ref="E38:E39"/>
    <mergeCell ref="F38:F39"/>
    <mergeCell ref="J38:J39"/>
    <mergeCell ref="K38:K39"/>
    <mergeCell ref="J13:K14"/>
    <mergeCell ref="J15:K15"/>
    <mergeCell ref="J16:K16"/>
    <mergeCell ref="J17:K17"/>
    <mergeCell ref="J18:K18"/>
    <mergeCell ref="H24:K24"/>
    <mergeCell ref="H25:K25"/>
    <mergeCell ref="H28:K28"/>
    <mergeCell ref="H29:K29"/>
    <mergeCell ref="H30:K30"/>
    <mergeCell ref="H31:K31"/>
    <mergeCell ref="H13:I14"/>
    <mergeCell ref="H15:I15"/>
    <mergeCell ref="H16:I16"/>
    <mergeCell ref="H17:I17"/>
    <mergeCell ref="H22:K22"/>
    <mergeCell ref="H23:K23"/>
    <mergeCell ref="A36:B36"/>
    <mergeCell ref="H32:K32"/>
    <mergeCell ref="C13:G13"/>
    <mergeCell ref="C14:D14"/>
    <mergeCell ref="C15:D15"/>
    <mergeCell ref="C16:D16"/>
    <mergeCell ref="C17:D17"/>
    <mergeCell ref="A18:D18"/>
    <mergeCell ref="H26:K26"/>
    <mergeCell ref="H27:K2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0"/>
  <sheetViews>
    <sheetView zoomScalePageLayoutView="0" workbookViewId="0" topLeftCell="A1">
      <selection activeCell="I16" sqref="I16"/>
    </sheetView>
  </sheetViews>
  <sheetFormatPr defaultColWidth="9.00390625" defaultRowHeight="12.75"/>
  <cols>
    <col min="8" max="8" width="13.00390625" style="0" customWidth="1"/>
    <col min="9" max="9" width="13.25390625" style="0" customWidth="1"/>
  </cols>
  <sheetData>
    <row r="5" spans="1:10" ht="12.75">
      <c r="A5" s="15"/>
      <c r="B5" s="15"/>
      <c r="C5" s="15"/>
      <c r="D5" s="15"/>
      <c r="E5" s="15"/>
      <c r="F5" s="16" t="s">
        <v>37</v>
      </c>
      <c r="G5" s="16"/>
      <c r="H5" s="16"/>
      <c r="I5" s="16"/>
      <c r="J5" s="17"/>
    </row>
    <row r="6" spans="1:10" ht="12.75">
      <c r="A6" s="15"/>
      <c r="B6" s="15"/>
      <c r="C6" s="15"/>
      <c r="D6" s="15"/>
      <c r="E6" s="15"/>
      <c r="F6" s="16" t="s">
        <v>38</v>
      </c>
      <c r="G6" s="18"/>
      <c r="H6" s="18"/>
      <c r="I6" s="18"/>
      <c r="J6" s="17"/>
    </row>
    <row r="7" spans="1:10" ht="12.75">
      <c r="A7" s="15"/>
      <c r="B7" s="15"/>
      <c r="C7" s="15"/>
      <c r="D7" s="15"/>
      <c r="E7" s="15"/>
      <c r="F7" s="16"/>
      <c r="G7" s="18"/>
      <c r="H7" s="18"/>
      <c r="I7" s="18"/>
      <c r="J7" s="17"/>
    </row>
    <row r="8" spans="1:10" ht="12.75">
      <c r="A8" s="15"/>
      <c r="B8" s="15"/>
      <c r="C8" s="15"/>
      <c r="D8" s="15"/>
      <c r="E8" s="15"/>
      <c r="F8" s="18"/>
      <c r="G8" s="18"/>
      <c r="H8" s="18"/>
      <c r="I8" s="18"/>
      <c r="J8" s="17"/>
    </row>
    <row r="9" spans="1:10" ht="15">
      <c r="A9" s="223" t="s">
        <v>39</v>
      </c>
      <c r="B9" s="223"/>
      <c r="C9" s="223"/>
      <c r="D9" s="223"/>
      <c r="E9" s="223"/>
      <c r="F9" s="223"/>
      <c r="G9" s="223"/>
      <c r="H9" s="223"/>
      <c r="I9" s="223"/>
      <c r="J9" s="17"/>
    </row>
    <row r="10" spans="1:10" ht="12.75" thickBot="1">
      <c r="A10" s="15"/>
      <c r="B10" s="15"/>
      <c r="C10" s="15"/>
      <c r="D10" s="15"/>
      <c r="E10" s="15"/>
      <c r="F10" s="15"/>
      <c r="G10" s="19"/>
      <c r="H10" s="20"/>
      <c r="I10" s="21" t="s">
        <v>85</v>
      </c>
      <c r="J10" s="17"/>
    </row>
    <row r="11" spans="1:10" ht="30" thickBot="1">
      <c r="A11" s="22" t="s">
        <v>11</v>
      </c>
      <c r="B11" s="224" t="s">
        <v>40</v>
      </c>
      <c r="C11" s="225"/>
      <c r="D11" s="225"/>
      <c r="E11" s="226"/>
      <c r="F11" s="23" t="s">
        <v>41</v>
      </c>
      <c r="G11" s="23" t="s">
        <v>42</v>
      </c>
      <c r="H11" s="24" t="s">
        <v>43</v>
      </c>
      <c r="I11" s="25" t="s">
        <v>44</v>
      </c>
      <c r="J11" s="17"/>
    </row>
    <row r="12" spans="1:10" ht="28.5" customHeight="1">
      <c r="A12" s="26" t="s">
        <v>45</v>
      </c>
      <c r="B12" s="227" t="s">
        <v>99</v>
      </c>
      <c r="C12" s="227"/>
      <c r="D12" s="227"/>
      <c r="E12" s="227"/>
      <c r="F12" s="27" t="s">
        <v>46</v>
      </c>
      <c r="G12" s="109"/>
      <c r="H12" s="28">
        <f>20000*1.18</f>
        <v>23600</v>
      </c>
      <c r="I12" s="29">
        <f>H12</f>
        <v>23600</v>
      </c>
      <c r="J12" s="17"/>
    </row>
    <row r="13" spans="1:10" ht="0.75" customHeight="1">
      <c r="A13" s="26" t="s">
        <v>47</v>
      </c>
      <c r="B13" s="220"/>
      <c r="C13" s="220"/>
      <c r="D13" s="220"/>
      <c r="E13" s="220"/>
      <c r="F13" s="27" t="s">
        <v>46</v>
      </c>
      <c r="G13" s="109"/>
      <c r="H13" s="30">
        <v>0</v>
      </c>
      <c r="I13" s="31">
        <f>G13*H13</f>
        <v>0</v>
      </c>
      <c r="J13" s="17"/>
    </row>
    <row r="14" spans="1:10" ht="15" hidden="1">
      <c r="A14" s="26" t="s">
        <v>48</v>
      </c>
      <c r="B14" s="220"/>
      <c r="C14" s="220"/>
      <c r="D14" s="220"/>
      <c r="E14" s="220"/>
      <c r="F14" s="27" t="s">
        <v>46</v>
      </c>
      <c r="G14" s="109"/>
      <c r="H14" s="30">
        <v>0</v>
      </c>
      <c r="I14" s="32">
        <f>G14*H14</f>
        <v>0</v>
      </c>
      <c r="J14" s="17"/>
    </row>
    <row r="15" spans="1:10" ht="15" thickBot="1">
      <c r="A15" s="33"/>
      <c r="B15" s="221" t="s">
        <v>49</v>
      </c>
      <c r="C15" s="221"/>
      <c r="D15" s="221"/>
      <c r="E15" s="221"/>
      <c r="F15" s="34"/>
      <c r="G15" s="35"/>
      <c r="H15" s="36"/>
      <c r="I15" s="37">
        <f>I12</f>
        <v>23600</v>
      </c>
      <c r="J15" s="17"/>
    </row>
    <row r="16" spans="1:10" ht="12.75">
      <c r="A16" s="15"/>
      <c r="B16" s="15"/>
      <c r="C16" s="15"/>
      <c r="D16" s="15"/>
      <c r="E16" s="15"/>
      <c r="F16" s="15"/>
      <c r="G16" s="19"/>
      <c r="H16" s="20"/>
      <c r="I16" s="38"/>
      <c r="J16" s="39"/>
    </row>
    <row r="17" spans="1:10" ht="15">
      <c r="A17" s="40"/>
      <c r="B17" s="41"/>
      <c r="C17" s="41"/>
      <c r="D17" s="41"/>
      <c r="E17" s="41"/>
      <c r="F17" s="42"/>
      <c r="G17" s="43"/>
      <c r="H17" s="41"/>
      <c r="I17" s="44"/>
      <c r="J17" s="17"/>
    </row>
    <row r="18" spans="1:10" ht="15">
      <c r="A18" s="45"/>
      <c r="B18" s="222" t="s">
        <v>50</v>
      </c>
      <c r="C18" s="222"/>
      <c r="D18" s="222"/>
      <c r="E18" s="222"/>
      <c r="F18" s="222"/>
      <c r="G18" s="46"/>
      <c r="H18" s="47" t="s">
        <v>98</v>
      </c>
      <c r="I18" s="48"/>
      <c r="J18" s="17"/>
    </row>
    <row r="19" spans="1:10" ht="15">
      <c r="A19" s="45"/>
      <c r="B19" s="49"/>
      <c r="C19" s="50"/>
      <c r="D19" s="51"/>
      <c r="E19" s="51"/>
      <c r="F19" s="52"/>
      <c r="G19" s="53"/>
      <c r="H19" s="47"/>
      <c r="I19" s="17"/>
      <c r="J19" s="17"/>
    </row>
    <row r="20" spans="1:10" ht="15">
      <c r="A20" s="45"/>
      <c r="B20" s="222" t="s">
        <v>51</v>
      </c>
      <c r="C20" s="222"/>
      <c r="D20" s="222"/>
      <c r="E20" s="222"/>
      <c r="F20" s="222"/>
      <c r="G20" s="17"/>
      <c r="H20" s="47"/>
      <c r="I20" s="48"/>
      <c r="J20" s="17"/>
    </row>
  </sheetData>
  <sheetProtection/>
  <mergeCells count="8">
    <mergeCell ref="B14:E14"/>
    <mergeCell ref="B15:E15"/>
    <mergeCell ref="B18:F18"/>
    <mergeCell ref="B20:F20"/>
    <mergeCell ref="A9:I9"/>
    <mergeCell ref="B11:E11"/>
    <mergeCell ref="B12:E12"/>
    <mergeCell ref="B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6.125" style="0" customWidth="1"/>
    <col min="4" max="5" width="16.00390625" style="0" customWidth="1"/>
    <col min="6" max="6" width="14.125" style="0" customWidth="1"/>
  </cols>
  <sheetData>
    <row r="1" spans="1:14" ht="12.75">
      <c r="A1" s="57"/>
      <c r="B1" s="17"/>
      <c r="C1" s="17"/>
      <c r="D1" s="17"/>
      <c r="E1" s="58" t="s">
        <v>56</v>
      </c>
      <c r="F1" s="58"/>
      <c r="G1" s="58"/>
      <c r="H1" s="17"/>
      <c r="I1" s="17"/>
      <c r="J1" s="17"/>
      <c r="K1" s="17"/>
      <c r="L1" s="17"/>
      <c r="M1" s="17"/>
      <c r="N1" s="17"/>
    </row>
    <row r="2" spans="1:14" ht="12.75">
      <c r="A2" s="57"/>
      <c r="B2" s="17"/>
      <c r="C2" s="17"/>
      <c r="D2" s="17"/>
      <c r="E2" s="58" t="s">
        <v>57</v>
      </c>
      <c r="F2" s="58"/>
      <c r="G2" s="58"/>
      <c r="H2" s="17"/>
      <c r="I2" s="17"/>
      <c r="J2" s="17"/>
      <c r="K2" s="17"/>
      <c r="L2" s="17"/>
      <c r="M2" s="17"/>
      <c r="N2" s="17"/>
    </row>
    <row r="3" spans="1:14" ht="12.75">
      <c r="A3" s="5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5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.75">
      <c r="A5" s="5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5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5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7.25">
      <c r="A8" s="228" t="s">
        <v>58</v>
      </c>
      <c r="B8" s="228"/>
      <c r="C8" s="228"/>
      <c r="D8" s="228"/>
      <c r="E8" s="228"/>
      <c r="F8" s="228"/>
      <c r="G8" s="59"/>
      <c r="H8" s="17"/>
      <c r="I8" s="17"/>
      <c r="J8" s="17"/>
      <c r="K8" s="17"/>
      <c r="L8" s="17"/>
      <c r="M8" s="17"/>
      <c r="N8" s="17"/>
    </row>
    <row r="9" spans="1:14" ht="17.25">
      <c r="A9" s="57"/>
      <c r="B9" s="17"/>
      <c r="C9" s="60"/>
      <c r="D9" s="61"/>
      <c r="E9" s="62" t="s">
        <v>59</v>
      </c>
      <c r="F9" s="63"/>
      <c r="G9" s="63"/>
      <c r="H9" s="17"/>
      <c r="I9" s="17"/>
      <c r="J9" s="17"/>
      <c r="K9" s="17"/>
      <c r="L9" s="17"/>
      <c r="M9" s="17"/>
      <c r="N9" s="17"/>
    </row>
    <row r="10" spans="1:14" ht="17.25">
      <c r="A10" s="57"/>
      <c r="B10" s="64"/>
      <c r="C10" s="60"/>
      <c r="D10" s="65"/>
      <c r="E10" s="66"/>
      <c r="F10" s="63"/>
      <c r="G10" s="63"/>
      <c r="H10" s="17"/>
      <c r="I10" s="17"/>
      <c r="J10" s="17"/>
      <c r="K10" s="17"/>
      <c r="L10" s="17"/>
      <c r="M10" s="17"/>
      <c r="N10" s="17"/>
    </row>
    <row r="11" spans="1:14" ht="12.75">
      <c r="A11" s="57"/>
      <c r="B11" s="17"/>
      <c r="C11" s="17"/>
      <c r="D11" s="17"/>
      <c r="E11" s="17"/>
      <c r="F11" s="18" t="s">
        <v>60</v>
      </c>
      <c r="G11" s="17"/>
      <c r="H11" s="17"/>
      <c r="I11" s="17"/>
      <c r="J11" s="17"/>
      <c r="K11" s="17"/>
      <c r="L11" s="17"/>
      <c r="M11" s="17"/>
      <c r="N11" s="17"/>
    </row>
    <row r="12" spans="1:14" ht="45">
      <c r="A12" s="67" t="s">
        <v>11</v>
      </c>
      <c r="B12" s="229" t="s">
        <v>61</v>
      </c>
      <c r="C12" s="229"/>
      <c r="D12" s="229"/>
      <c r="E12" s="67" t="s">
        <v>62</v>
      </c>
      <c r="F12" s="67" t="s">
        <v>63</v>
      </c>
      <c r="G12" s="17"/>
      <c r="H12" s="68" t="s">
        <v>24</v>
      </c>
      <c r="I12" s="69" t="s">
        <v>64</v>
      </c>
      <c r="J12" s="17"/>
      <c r="K12" s="17"/>
      <c r="L12" s="17"/>
      <c r="M12" s="17"/>
      <c r="N12" s="17"/>
    </row>
    <row r="13" spans="1:14" ht="15">
      <c r="A13" s="70">
        <v>1</v>
      </c>
      <c r="B13" s="71" t="s">
        <v>65</v>
      </c>
      <c r="C13" s="72"/>
      <c r="D13" s="73"/>
      <c r="E13" s="74">
        <v>0.2</v>
      </c>
      <c r="F13" s="75">
        <f>G13*Расчет!H24</f>
        <v>10382.832000000002</v>
      </c>
      <c r="G13" s="17">
        <v>0.2</v>
      </c>
      <c r="H13" s="76">
        <v>20</v>
      </c>
      <c r="I13" s="69" t="s">
        <v>83</v>
      </c>
      <c r="J13" s="17"/>
      <c r="K13" s="17"/>
      <c r="L13" s="17"/>
      <c r="M13" s="17"/>
      <c r="N13" s="17"/>
    </row>
    <row r="14" spans="1:14" ht="15">
      <c r="A14" s="77">
        <v>2</v>
      </c>
      <c r="B14" s="78" t="s">
        <v>66</v>
      </c>
      <c r="C14" s="79"/>
      <c r="D14" s="80"/>
      <c r="E14" s="74">
        <v>0.029</v>
      </c>
      <c r="F14" s="75">
        <f>G14*Расчет!H24</f>
        <v>1505.5106400000002</v>
      </c>
      <c r="G14" s="17">
        <v>0.029</v>
      </c>
      <c r="H14" s="69">
        <v>2.9</v>
      </c>
      <c r="I14" s="69" t="s">
        <v>66</v>
      </c>
      <c r="J14" s="17"/>
      <c r="K14" s="17"/>
      <c r="L14" s="17"/>
      <c r="M14" s="17"/>
      <c r="N14" s="17"/>
    </row>
    <row r="15" spans="1:14" ht="15">
      <c r="A15" s="77">
        <v>3</v>
      </c>
      <c r="B15" s="78" t="s">
        <v>67</v>
      </c>
      <c r="C15" s="79"/>
      <c r="D15" s="80"/>
      <c r="E15" s="74">
        <v>0.031</v>
      </c>
      <c r="F15" s="75">
        <f>G15*Расчет!H24</f>
        <v>1609.33896</v>
      </c>
      <c r="G15" s="17">
        <v>0.031</v>
      </c>
      <c r="H15" s="69">
        <v>3.1</v>
      </c>
      <c r="I15" s="69" t="s">
        <v>80</v>
      </c>
      <c r="J15" s="17"/>
      <c r="K15" s="17"/>
      <c r="L15" s="17"/>
      <c r="M15" s="17"/>
      <c r="N15" s="17"/>
    </row>
    <row r="16" spans="1:14" ht="17.25">
      <c r="A16" s="77"/>
      <c r="B16" s="81" t="s">
        <v>49</v>
      </c>
      <c r="C16" s="79"/>
      <c r="D16" s="80"/>
      <c r="E16" s="74">
        <v>0.26</v>
      </c>
      <c r="F16" s="82">
        <f>SUM(F13:F15)</f>
        <v>13497.681600000004</v>
      </c>
      <c r="G16" s="17">
        <v>0.002</v>
      </c>
      <c r="H16" s="83">
        <v>0.2</v>
      </c>
      <c r="I16" s="69" t="s">
        <v>87</v>
      </c>
      <c r="J16" s="17"/>
      <c r="K16" s="17"/>
      <c r="L16" s="17"/>
      <c r="M16" s="17"/>
      <c r="N16" s="17"/>
    </row>
    <row r="17" spans="1:14" ht="12.75">
      <c r="A17" s="57"/>
      <c r="B17" s="17"/>
      <c r="C17" s="17"/>
      <c r="D17" s="17"/>
      <c r="E17" s="17"/>
      <c r="F17" s="17"/>
      <c r="G17" s="17"/>
      <c r="H17" s="17"/>
      <c r="I17" s="120" t="s">
        <v>88</v>
      </c>
      <c r="J17" s="17"/>
      <c r="K17" s="17"/>
      <c r="L17" s="17"/>
      <c r="M17" s="17"/>
      <c r="N17" s="17"/>
    </row>
    <row r="18" spans="1:14" ht="15">
      <c r="A18" s="45"/>
      <c r="G18" s="17"/>
      <c r="H18" s="114"/>
      <c r="I18" s="120" t="s">
        <v>89</v>
      </c>
      <c r="J18" s="17"/>
      <c r="K18" s="17"/>
      <c r="L18" s="17"/>
      <c r="M18" s="17"/>
      <c r="N18" s="17"/>
    </row>
    <row r="19" spans="1:14" ht="15">
      <c r="A19" s="77">
        <v>1</v>
      </c>
      <c r="B19" s="78" t="s">
        <v>82</v>
      </c>
      <c r="C19" s="78"/>
      <c r="D19" s="78"/>
      <c r="E19" s="111">
        <v>0.002</v>
      </c>
      <c r="F19" s="119">
        <f>G16*Расчет!H24</f>
        <v>103.82832</v>
      </c>
      <c r="G19" s="17"/>
      <c r="H19" s="114" t="s">
        <v>24</v>
      </c>
      <c r="I19" s="113" t="s">
        <v>84</v>
      </c>
      <c r="J19" s="17"/>
      <c r="K19" s="17"/>
      <c r="L19" s="17"/>
      <c r="M19" s="17"/>
      <c r="N19" s="17"/>
    </row>
    <row r="20" spans="1:14" ht="15">
      <c r="A20" s="45"/>
      <c r="G20" s="17"/>
      <c r="H20" s="17"/>
      <c r="I20" s="113" t="s">
        <v>90</v>
      </c>
      <c r="J20" s="17"/>
      <c r="K20" s="17"/>
      <c r="L20" s="17"/>
      <c r="M20" s="17"/>
      <c r="N20" s="17"/>
    </row>
    <row r="21" spans="1:14" ht="15">
      <c r="A21" s="84"/>
      <c r="B21" s="84"/>
      <c r="C21" s="84"/>
      <c r="D21" s="84"/>
      <c r="E21" s="17"/>
      <c r="F21" s="84"/>
      <c r="G21" s="84"/>
      <c r="H21" s="17"/>
      <c r="I21" s="118">
        <v>0.262</v>
      </c>
      <c r="J21" s="17"/>
      <c r="K21" s="17"/>
      <c r="L21" s="17"/>
      <c r="M21" s="17"/>
      <c r="N21" s="17"/>
    </row>
    <row r="28" spans="2:6" ht="12.75">
      <c r="B28" s="222" t="s">
        <v>68</v>
      </c>
      <c r="C28" s="230"/>
      <c r="D28" s="230"/>
      <c r="E28" s="230"/>
      <c r="F28" s="230"/>
    </row>
    <row r="29" spans="2:6" ht="15">
      <c r="B29" s="49"/>
      <c r="C29" s="50"/>
      <c r="D29" s="51"/>
      <c r="E29" s="51"/>
      <c r="F29" s="17"/>
    </row>
    <row r="30" spans="2:6" ht="15">
      <c r="B30" s="222" t="s">
        <v>51</v>
      </c>
      <c r="C30" s="230"/>
      <c r="D30" s="230"/>
      <c r="E30" s="51"/>
      <c r="F30" s="48"/>
    </row>
  </sheetData>
  <sheetProtection/>
  <mergeCells count="4">
    <mergeCell ref="A8:F8"/>
    <mergeCell ref="B12:D12"/>
    <mergeCell ref="B28:F28"/>
    <mergeCell ref="B30:D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G29"/>
  <sheetViews>
    <sheetView zoomScalePageLayoutView="0" workbookViewId="0" topLeftCell="A1">
      <selection activeCell="D13" sqref="D13"/>
    </sheetView>
  </sheetViews>
  <sheetFormatPr defaultColWidth="9.00390625" defaultRowHeight="12.75"/>
  <cols>
    <col min="2" max="2" width="8.875" style="0" customWidth="1"/>
    <col min="3" max="3" width="52.25390625" style="0" bestFit="1" customWidth="1"/>
    <col min="4" max="4" width="24.125" style="0" customWidth="1"/>
    <col min="5" max="5" width="31.875" style="0" customWidth="1"/>
    <col min="7" max="7" width="8.75390625" style="0" bestFit="1" customWidth="1"/>
  </cols>
  <sheetData>
    <row r="7" spans="2:5" ht="17.25">
      <c r="B7" s="231" t="s">
        <v>69</v>
      </c>
      <c r="C7" s="231"/>
      <c r="D7" s="231"/>
      <c r="E7" s="231"/>
    </row>
    <row r="8" spans="6:7" ht="15">
      <c r="F8" s="85"/>
      <c r="G8" s="85"/>
    </row>
    <row r="9" spans="2:7" ht="15">
      <c r="B9" s="232" t="s">
        <v>79</v>
      </c>
      <c r="C9" s="233"/>
      <c r="D9" s="233"/>
      <c r="E9" s="233"/>
      <c r="F9" s="85"/>
      <c r="G9" s="85"/>
    </row>
    <row r="10" spans="2:7" ht="15" thickBot="1">
      <c r="B10" s="86"/>
      <c r="C10" s="86"/>
      <c r="D10" s="86"/>
      <c r="E10" s="87"/>
      <c r="F10" s="85"/>
      <c r="G10" s="85"/>
    </row>
    <row r="11" spans="2:7" ht="39" customHeight="1" thickBot="1">
      <c r="B11" s="88" t="s">
        <v>70</v>
      </c>
      <c r="C11" s="89" t="s">
        <v>40</v>
      </c>
      <c r="D11" s="90" t="s">
        <v>71</v>
      </c>
      <c r="E11" s="91" t="s">
        <v>72</v>
      </c>
      <c r="F11" s="85"/>
      <c r="G11" s="85"/>
    </row>
    <row r="12" spans="2:7" ht="30">
      <c r="B12" s="92">
        <v>1</v>
      </c>
      <c r="C12" s="93" t="s">
        <v>73</v>
      </c>
      <c r="D12" s="94">
        <v>0</v>
      </c>
      <c r="E12" s="95">
        <f>D12/2</f>
        <v>0</v>
      </c>
      <c r="F12" s="85"/>
      <c r="G12" s="85"/>
    </row>
    <row r="13" spans="2:7" ht="30">
      <c r="B13" s="96">
        <v>2</v>
      </c>
      <c r="C13" s="97" t="s">
        <v>92</v>
      </c>
      <c r="D13" s="98">
        <f>D12/8*38</f>
        <v>0</v>
      </c>
      <c r="E13" s="98">
        <f>E12/8*38</f>
        <v>0</v>
      </c>
      <c r="F13" s="85"/>
      <c r="G13" s="85"/>
    </row>
    <row r="14" spans="2:7" ht="45">
      <c r="B14" s="96">
        <v>3</v>
      </c>
      <c r="C14" s="97" t="s">
        <v>93</v>
      </c>
      <c r="D14" s="98">
        <f>D13/24</f>
        <v>0</v>
      </c>
      <c r="E14" s="98">
        <f>E13/24</f>
        <v>0</v>
      </c>
      <c r="F14" s="85"/>
      <c r="G14" s="85"/>
    </row>
    <row r="15" spans="2:7" ht="45">
      <c r="B15" s="96">
        <v>4</v>
      </c>
      <c r="C15" s="97" t="s">
        <v>94</v>
      </c>
      <c r="D15" s="99">
        <f>D14*4800</f>
        <v>0</v>
      </c>
      <c r="E15" s="99">
        <f>E14*4800*2</f>
        <v>0</v>
      </c>
      <c r="F15" s="85"/>
      <c r="G15" s="85"/>
    </row>
    <row r="16" spans="2:7" ht="15">
      <c r="B16" s="96">
        <v>5</v>
      </c>
      <c r="C16" s="100" t="s">
        <v>95</v>
      </c>
      <c r="D16" s="98">
        <f>D13*1200</f>
        <v>0</v>
      </c>
      <c r="E16" s="99">
        <f>E13*1200*2</f>
        <v>0</v>
      </c>
      <c r="F16" s="85"/>
      <c r="G16" s="85"/>
    </row>
    <row r="17" spans="2:7" ht="15">
      <c r="B17" s="96">
        <v>6</v>
      </c>
      <c r="C17" s="97" t="s">
        <v>74</v>
      </c>
      <c r="D17" s="99">
        <f>D13*100</f>
        <v>0</v>
      </c>
      <c r="E17" s="99">
        <f>E13*100*2</f>
        <v>0</v>
      </c>
      <c r="F17" s="85"/>
      <c r="G17" s="85"/>
    </row>
    <row r="18" spans="2:7" ht="15" thickBot="1">
      <c r="B18" s="101"/>
      <c r="C18" s="102" t="s">
        <v>75</v>
      </c>
      <c r="D18" s="103">
        <f>SUM(D15:D17)</f>
        <v>0</v>
      </c>
      <c r="E18" s="103">
        <f>SUM(E15:E17)</f>
        <v>0</v>
      </c>
      <c r="F18" s="85"/>
      <c r="G18" s="85"/>
    </row>
    <row r="19" spans="2:7" ht="15">
      <c r="B19" s="106"/>
      <c r="C19" s="107"/>
      <c r="D19" s="108"/>
      <c r="E19" s="108"/>
      <c r="F19" s="85"/>
      <c r="G19" s="85"/>
    </row>
    <row r="20" spans="2:7" ht="17.25">
      <c r="B20" s="104" t="s">
        <v>76</v>
      </c>
      <c r="C20" s="104"/>
      <c r="D20" s="104" t="s">
        <v>77</v>
      </c>
      <c r="E20" s="104"/>
      <c r="F20" s="104"/>
      <c r="G20" s="85"/>
    </row>
    <row r="21" spans="2:7" ht="17.25">
      <c r="B21" s="105"/>
      <c r="C21" s="104"/>
      <c r="D21" s="104"/>
      <c r="E21" s="104"/>
      <c r="F21" s="104"/>
      <c r="G21" s="85"/>
    </row>
    <row r="22" spans="2:7" ht="17.25">
      <c r="B22" s="105" t="s">
        <v>78</v>
      </c>
      <c r="C22" s="104"/>
      <c r="D22" s="104" t="s">
        <v>78</v>
      </c>
      <c r="E22" s="104"/>
      <c r="F22" s="104"/>
      <c r="G22" s="85"/>
    </row>
    <row r="23" spans="2:7" ht="17.25">
      <c r="B23" s="104"/>
      <c r="C23" s="104"/>
      <c r="D23" s="104"/>
      <c r="E23" s="104"/>
      <c r="F23" s="104"/>
      <c r="G23" s="85"/>
    </row>
    <row r="24" spans="2:7" ht="17.25">
      <c r="B24" s="104"/>
      <c r="C24" s="104"/>
      <c r="D24" s="104"/>
      <c r="E24" s="104"/>
      <c r="F24" s="104"/>
      <c r="G24" s="85">
        <v>2</v>
      </c>
    </row>
    <row r="25" spans="2:7" ht="17.25">
      <c r="B25" s="104"/>
      <c r="C25" s="104"/>
      <c r="D25" s="104"/>
      <c r="E25" s="104"/>
      <c r="F25" s="104"/>
      <c r="G25" s="85"/>
    </row>
    <row r="26" spans="2:7" ht="17.25">
      <c r="B26" s="104"/>
      <c r="C26" s="104"/>
      <c r="D26" s="104"/>
      <c r="E26" s="104"/>
      <c r="F26" s="104"/>
      <c r="G26" s="85"/>
    </row>
    <row r="27" spans="2:7" ht="17.25">
      <c r="B27" s="104"/>
      <c r="C27" s="104"/>
      <c r="D27" s="105"/>
      <c r="E27" s="104"/>
      <c r="F27" s="85"/>
      <c r="G27" s="85"/>
    </row>
    <row r="28" spans="2:7" ht="15">
      <c r="B28" s="85"/>
      <c r="C28" s="85"/>
      <c r="D28" s="85"/>
      <c r="E28" s="85"/>
      <c r="F28" s="85"/>
      <c r="G28" s="85"/>
    </row>
    <row r="29" spans="2:7" ht="15">
      <c r="B29" s="85"/>
      <c r="C29" s="85"/>
      <c r="D29" s="85"/>
      <c r="E29" s="85"/>
      <c r="F29" s="85"/>
      <c r="G29" s="85"/>
    </row>
  </sheetData>
  <sheetProtection/>
  <mergeCells count="2">
    <mergeCell ref="B7:E7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Сфера-МК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Лиокадия Геннадьевна</dc:creator>
  <cp:keywords/>
  <dc:description/>
  <cp:lastModifiedBy>Palych Olenin</cp:lastModifiedBy>
  <cp:lastPrinted>2010-01-15T08:54:52Z</cp:lastPrinted>
  <dcterms:created xsi:type="dcterms:W3CDTF">2007-10-22T07:42:00Z</dcterms:created>
  <dcterms:modified xsi:type="dcterms:W3CDTF">2019-12-24T12:57:12Z</dcterms:modified>
  <cp:category/>
  <cp:version/>
  <cp:contentType/>
  <cp:contentStatus/>
</cp:coreProperties>
</file>